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9690" windowHeight="7020" activeTab="1"/>
  </bookViews>
  <sheets>
    <sheet name="Parameters" sheetId="1" r:id="rId1"/>
    <sheet name="P" sheetId="2" r:id="rId2"/>
    <sheet name="G" sheetId="3" r:id="rId3"/>
    <sheet name="I" sheetId="4" r:id="rId4"/>
    <sheet name="O" sheetId="5" r:id="rId5"/>
    <sheet name="E" sheetId="6" r:id="rId6"/>
  </sheets>
  <definedNames>
    <definedName name="AGE1">'I'!$B$3</definedName>
    <definedName name="AGE2">'I'!$B$10</definedName>
    <definedName name="AGE3">'I'!$B$17</definedName>
    <definedName name="AGEd">'G'!$B$30</definedName>
    <definedName name="AGEe">'G'!$B$32</definedName>
    <definedName name="AGEf">'G'!$B$34</definedName>
    <definedName name="AGEstd">'Parameters'!$D$4</definedName>
    <definedName name="CL1_">'I'!$B$7</definedName>
    <definedName name="CL2_">'I'!$B$14</definedName>
    <definedName name="CL3_">'I'!$B$21</definedName>
    <definedName name="CLgrp1">'I'!$B$5</definedName>
    <definedName name="CLgrp2">'I'!$B$12</definedName>
    <definedName name="CLgrp3">'I'!$B$19</definedName>
    <definedName name="CLgrpA">'G'!$B$7</definedName>
    <definedName name="CLgrpB">'G'!$B$10</definedName>
    <definedName name="CLgrpC">'G'!$B$13</definedName>
    <definedName name="CLgrpD">'G'!$B$37</definedName>
    <definedName name="CLgrpE">'G'!$B$39</definedName>
    <definedName name="CLgrpF">'G'!$B$41</definedName>
    <definedName name="Clpop">'P'!$B$3</definedName>
    <definedName name="CLstd">'Parameters'!$D$10</definedName>
    <definedName name="cwa2" localSheetId="5">'E'!#REF!</definedName>
    <definedName name="cwallq2" localSheetId="5">'E'!$B$2:$B$26</definedName>
    <definedName name="cwaobs2" localSheetId="5">'E'!#REF!</definedName>
    <definedName name="Dose">'Parameters'!$D$8</definedName>
    <definedName name="Kagecl">'Parameters'!$D$13</definedName>
    <definedName name="Kagev">'Parameters'!$D$12</definedName>
    <definedName name="LLQ">'Parameters'!$D$21</definedName>
    <definedName name="PPVage">'Parameters'!$D$6</definedName>
    <definedName name="PPVcl">'Parameters'!$D$16</definedName>
    <definedName name="PPVv">'Parameters'!$D$15</definedName>
    <definedName name="PPVwt">'Parameters'!$D$5</definedName>
    <definedName name="RUVcv">'Parameters'!$D$19</definedName>
    <definedName name="RUVsd">'Parameters'!$D$18</definedName>
    <definedName name="t">'G'!$C$2:$C$65536</definedName>
    <definedName name="V1_">'I'!$B$6</definedName>
    <definedName name="V2_">'I'!$B$13</definedName>
    <definedName name="V3_">'I'!$B$20</definedName>
    <definedName name="Vgrp1">'I'!$B$4</definedName>
    <definedName name="Vgrp2">'I'!$B$11</definedName>
    <definedName name="Vgrp3">'I'!$B$18</definedName>
    <definedName name="VgrpA">'G'!$B$6</definedName>
    <definedName name="VgrpB">'G'!$B$9</definedName>
    <definedName name="VgrpC">'G'!$B$12</definedName>
    <definedName name="VgrpD">'G'!$B$36</definedName>
    <definedName name="VgrpE">'G'!$B$38</definedName>
    <definedName name="VgrpF">'G'!$B$40</definedName>
    <definedName name="Vpop">'P'!$B$2</definedName>
    <definedName name="Vstd">'Parameters'!$D$9</definedName>
    <definedName name="WT1">'I'!$B$2</definedName>
    <definedName name="WT2">'I'!$B$9</definedName>
    <definedName name="WT3">'I'!$B$16</definedName>
    <definedName name="WTA">'G'!$B$2</definedName>
    <definedName name="WTB">'G'!$B$4</definedName>
    <definedName name="WTC">'G'!$B$3</definedName>
    <definedName name="WTd">'G'!$B$29</definedName>
    <definedName name="Wte">'G'!$B$31</definedName>
    <definedName name="WTf">'G'!$B$33</definedName>
    <definedName name="WTstd">'Parameters'!$D$3</definedName>
  </definedNames>
  <calcPr calcMode="autoNoTable" fullCalcOnLoad="1"/>
</workbook>
</file>

<file path=xl/sharedStrings.xml><?xml version="1.0" encoding="utf-8"?>
<sst xmlns="http://schemas.openxmlformats.org/spreadsheetml/2006/main" count="115" uniqueCount="102">
  <si>
    <t>Dose</t>
  </si>
  <si>
    <t>Name</t>
  </si>
  <si>
    <t>Value</t>
  </si>
  <si>
    <t>t</t>
  </si>
  <si>
    <t>C(t)pop</t>
  </si>
  <si>
    <t>PPVwt</t>
  </si>
  <si>
    <t>PPVage</t>
  </si>
  <si>
    <t>WT1</t>
  </si>
  <si>
    <t>WT2</t>
  </si>
  <si>
    <t>WT3</t>
  </si>
  <si>
    <t>AGE1</t>
  </si>
  <si>
    <t>AGE2</t>
  </si>
  <si>
    <t>AGE3</t>
  </si>
  <si>
    <t>V1</t>
  </si>
  <si>
    <t>V2</t>
  </si>
  <si>
    <t>V3</t>
  </si>
  <si>
    <t>CL1</t>
  </si>
  <si>
    <t>CL2</t>
  </si>
  <si>
    <t>CL3</t>
  </si>
  <si>
    <t>RUVsd</t>
  </si>
  <si>
    <t>RUVcv</t>
  </si>
  <si>
    <t>LLQ</t>
  </si>
  <si>
    <t>Description</t>
  </si>
  <si>
    <t>Vstd</t>
  </si>
  <si>
    <t>Group</t>
  </si>
  <si>
    <t>Individual</t>
  </si>
  <si>
    <t>C(t,w,a)grpA</t>
  </si>
  <si>
    <t>C(t,w,a)grpB</t>
  </si>
  <si>
    <t>C(t,w,a)grpC</t>
  </si>
  <si>
    <t>C(t,w)grpA</t>
  </si>
  <si>
    <t>C(t,w)grpB</t>
  </si>
  <si>
    <t>C(t,w)grpC</t>
  </si>
  <si>
    <t>C(t,w,a)grp1</t>
  </si>
  <si>
    <t>C(t,w,a)grp2</t>
  </si>
  <si>
    <t>C(t,w,a)grp3</t>
  </si>
  <si>
    <t>C(t,w,a)obs1</t>
  </si>
  <si>
    <t>Cexec(t)</t>
  </si>
  <si>
    <t>Parameter</t>
  </si>
  <si>
    <t>Clpop</t>
  </si>
  <si>
    <t>Vpop</t>
  </si>
  <si>
    <t>CLgrpA</t>
  </si>
  <si>
    <t>VgrpA</t>
  </si>
  <si>
    <t>CLgrpB</t>
  </si>
  <si>
    <t>VgrpB</t>
  </si>
  <si>
    <t>CLgrpC</t>
  </si>
  <si>
    <t>VgrpC</t>
  </si>
  <si>
    <t>AGEd</t>
  </si>
  <si>
    <t>AGEe</t>
  </si>
  <si>
    <t>AGEf</t>
  </si>
  <si>
    <t>WTd</t>
  </si>
  <si>
    <t>Wte</t>
  </si>
  <si>
    <t>WTf</t>
  </si>
  <si>
    <t>Wta</t>
  </si>
  <si>
    <t>WTb</t>
  </si>
  <si>
    <t>WTc</t>
  </si>
  <si>
    <t>VgrpD</t>
  </si>
  <si>
    <t>CLgrpD</t>
  </si>
  <si>
    <t>VgrpE</t>
  </si>
  <si>
    <t>CLgrpE</t>
  </si>
  <si>
    <t>VgrpF</t>
  </si>
  <si>
    <t>CLgrpF</t>
  </si>
  <si>
    <t>Vgrp1</t>
  </si>
  <si>
    <t>CLgrp1</t>
  </si>
  <si>
    <t>Vgrp2</t>
  </si>
  <si>
    <t>CLgrp2</t>
  </si>
  <si>
    <t>Vgrp3</t>
  </si>
  <si>
    <t>CLgrp3</t>
  </si>
  <si>
    <t>Model</t>
  </si>
  <si>
    <t>Execution</t>
  </si>
  <si>
    <t>Observation</t>
  </si>
  <si>
    <t>Covariate Distribution</t>
  </si>
  <si>
    <t>Population</t>
  </si>
  <si>
    <t>Input Output</t>
  </si>
  <si>
    <t>Level</t>
  </si>
  <si>
    <t>Units</t>
  </si>
  <si>
    <t>kg</t>
  </si>
  <si>
    <t>y</t>
  </si>
  <si>
    <t>Clearance</t>
  </si>
  <si>
    <t>Volume of distribution</t>
  </si>
  <si>
    <t>Standard weight</t>
  </si>
  <si>
    <t>Standard age</t>
  </si>
  <si>
    <t>Population parameter variability for Volume</t>
  </si>
  <si>
    <t>Population parameter variability for Clearance</t>
  </si>
  <si>
    <t>Population parameter variability for Weight</t>
  </si>
  <si>
    <t>Population parameter variability for Age</t>
  </si>
  <si>
    <t>Residual unexplained variability Proportional</t>
  </si>
  <si>
    <t>Residual unexplained variability Additive</t>
  </si>
  <si>
    <t>mg/L</t>
  </si>
  <si>
    <t>mg</t>
  </si>
  <si>
    <t>Lower Limit of Quantitation</t>
  </si>
  <si>
    <t>L</t>
  </si>
  <si>
    <t>L/h</t>
  </si>
  <si>
    <r>
      <t>h</t>
    </r>
    <r>
      <rPr>
        <vertAlign val="superscript"/>
        <sz val="10"/>
        <rFont val="Arial"/>
        <family val="2"/>
      </rPr>
      <t>-1</t>
    </r>
  </si>
  <si>
    <t>Age and volume of distribution factor</t>
  </si>
  <si>
    <t>Age and clearance factor</t>
  </si>
  <si>
    <t>Kagev</t>
  </si>
  <si>
    <t>Kagecl</t>
  </si>
  <si>
    <t>PPVv</t>
  </si>
  <si>
    <t>PPVcl</t>
  </si>
  <si>
    <t>CLstd</t>
  </si>
  <si>
    <t>AGEstd</t>
  </si>
  <si>
    <t>WTstd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</si>
</sst>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7">
    <font>
      <sz val="10"/>
      <name val="Arial"/>
      <family val="0"/>
    </font>
    <font>
      <sz val="23.5"/>
      <name val="Arial"/>
      <family val="2"/>
    </font>
    <font>
      <sz val="23.2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P!$D$1</c:f>
              <c:strCache>
                <c:ptCount val="1"/>
                <c:pt idx="0">
                  <c:v>C(t)pop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P!$C$2:$C$26</c:f>
              <c:numCache/>
            </c:numRef>
          </c:xVal>
          <c:yVal>
            <c:numRef>
              <c:f>P!$D$2:$D$26</c:f>
              <c:numCache/>
            </c:numRef>
          </c:yVal>
          <c:smooth val="0"/>
        </c:ser>
        <c:axId val="38618343"/>
        <c:axId val="12020768"/>
      </c:scatterChart>
      <c:valAx>
        <c:axId val="3861834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20768"/>
        <c:crossesAt val="0.01"/>
        <c:crossBetween val="midCat"/>
        <c:dispUnits/>
      </c:valAx>
      <c:valAx>
        <c:axId val="1202076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8618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P!$D$1</c:f>
              <c:strCache>
                <c:ptCount val="1"/>
                <c:pt idx="0">
                  <c:v>C(t)pop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P!$C$2:$C$26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P!$D$2:$D$26</c:f>
              <c:numCache>
                <c:ptCount val="25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  <c:pt idx="21">
                  <c:v>0.1224564282529819</c:v>
                </c:pt>
                <c:pt idx="22">
                  <c:v>0.11080315836233387</c:v>
                </c:pt>
                <c:pt idx="23">
                  <c:v>0.1002588437228037</c:v>
                </c:pt>
                <c:pt idx="24">
                  <c:v>0.09071795328941247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G!$D$28</c:f>
              <c:strCache>
                <c:ptCount val="1"/>
                <c:pt idx="0">
                  <c:v>C(t,w,a)grpA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G!$C$2:$C$26</c:f>
              <c:numCache/>
            </c:numRef>
          </c:xVal>
          <c:yVal>
            <c:numRef>
              <c:f>G!$D$29:$D$53</c:f>
              <c:numCache/>
            </c:numRef>
          </c:yVal>
          <c:smooth val="0"/>
        </c:ser>
        <c:ser>
          <c:idx val="2"/>
          <c:order val="2"/>
          <c:tx>
            <c:strRef>
              <c:f>G!$E$28</c:f>
              <c:strCache>
                <c:ptCount val="1"/>
                <c:pt idx="0">
                  <c:v>C(t,w,a)grpB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G!$C$2:$C$26</c:f>
              <c:numCache/>
            </c:numRef>
          </c:xVal>
          <c:yVal>
            <c:numRef>
              <c:f>G!$E$29:$E$53</c:f>
              <c:numCache/>
            </c:numRef>
          </c:yVal>
          <c:smooth val="0"/>
        </c:ser>
        <c:ser>
          <c:idx val="3"/>
          <c:order val="3"/>
          <c:tx>
            <c:strRef>
              <c:f>G!$F$28</c:f>
              <c:strCache>
                <c:ptCount val="1"/>
                <c:pt idx="0">
                  <c:v>C(t,w,a)grpC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G!$C$2:$C$26</c:f>
              <c:numCache/>
            </c:numRef>
          </c:xVal>
          <c:yVal>
            <c:numRef>
              <c:f>G!$F$29:$F$53</c:f>
              <c:numCache/>
            </c:numRef>
          </c:yVal>
          <c:smooth val="0"/>
        </c:ser>
        <c:axId val="41078049"/>
        <c:axId val="34158122"/>
      </c:scatterChart>
      <c:valAx>
        <c:axId val="41078049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58122"/>
        <c:crossesAt val="0.01"/>
        <c:crossBetween val="midCat"/>
        <c:dispUnits/>
      </c:valAx>
      <c:valAx>
        <c:axId val="34158122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107804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P!$D$1</c:f>
              <c:strCache>
                <c:ptCount val="1"/>
                <c:pt idx="0">
                  <c:v>C(t)pop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P!$C$2:$C$26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P!$D$2:$D$26</c:f>
              <c:numCache>
                <c:ptCount val="25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  <c:pt idx="21">
                  <c:v>0.1224564282529819</c:v>
                </c:pt>
                <c:pt idx="22">
                  <c:v>0.11080315836233387</c:v>
                </c:pt>
                <c:pt idx="23">
                  <c:v>0.1002588437228037</c:v>
                </c:pt>
                <c:pt idx="24">
                  <c:v>0.09071795328941247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G!$D$1</c:f>
              <c:strCache>
                <c:ptCount val="1"/>
                <c:pt idx="0">
                  <c:v>C(t,w)grpA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G!$C$2:$C$26</c:f>
              <c:numCache/>
            </c:numRef>
          </c:xVal>
          <c:yVal>
            <c:numRef>
              <c:f>G!$D$2:$D$26</c:f>
              <c:numCache/>
            </c:numRef>
          </c:yVal>
          <c:smooth val="0"/>
        </c:ser>
        <c:ser>
          <c:idx val="2"/>
          <c:order val="2"/>
          <c:tx>
            <c:strRef>
              <c:f>G!$E$1</c:f>
              <c:strCache>
                <c:ptCount val="1"/>
                <c:pt idx="0">
                  <c:v>C(t,w)grpB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G!$C$2:$C$26</c:f>
              <c:numCache/>
            </c:numRef>
          </c:xVal>
          <c:yVal>
            <c:numRef>
              <c:f>G!$E$2:$E$26</c:f>
              <c:numCache/>
            </c:numRef>
          </c:yVal>
          <c:smooth val="0"/>
        </c:ser>
        <c:ser>
          <c:idx val="3"/>
          <c:order val="3"/>
          <c:tx>
            <c:strRef>
              <c:f>G!$F$1</c:f>
              <c:strCache>
                <c:ptCount val="1"/>
                <c:pt idx="0">
                  <c:v>C(t,w)grpC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G!$C$2:$C$26</c:f>
              <c:numCache/>
            </c:numRef>
          </c:xVal>
          <c:yVal>
            <c:numRef>
              <c:f>G!$F$2:$F$26</c:f>
              <c:numCache/>
            </c:numRef>
          </c:yVal>
          <c:smooth val="0"/>
        </c:ser>
        <c:axId val="38987643"/>
        <c:axId val="15344468"/>
      </c:scatterChart>
      <c:valAx>
        <c:axId val="3898764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4468"/>
        <c:crossesAt val="0.01"/>
        <c:crossBetween val="midCat"/>
        <c:dispUnits/>
      </c:valAx>
      <c:valAx>
        <c:axId val="15344468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89876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P!$D$1</c:f>
              <c:strCache>
                <c:ptCount val="1"/>
                <c:pt idx="0">
                  <c:v>C(t)pop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P!$C$2:$C$26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P!$D$2:$D$26</c:f>
              <c:numCache>
                <c:ptCount val="25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  <c:pt idx="21">
                  <c:v>0.1224564282529819</c:v>
                </c:pt>
                <c:pt idx="22">
                  <c:v>0.11080315836233387</c:v>
                </c:pt>
                <c:pt idx="23">
                  <c:v>0.1002588437228037</c:v>
                </c:pt>
                <c:pt idx="24">
                  <c:v>0.09071795328941247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I!$D$1</c:f>
              <c:strCache>
                <c:ptCount val="1"/>
                <c:pt idx="0">
                  <c:v>C(t,w,a)grp1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I!$C$2:$C$26</c:f>
              <c:numCache/>
            </c:numRef>
          </c:xVal>
          <c:yVal>
            <c:numRef>
              <c:f>I!$D$2:$D$26</c:f>
              <c:numCache>
                <c:ptCount val="25"/>
                <c:pt idx="0">
                  <c:v>1.663885510688321</c:v>
                </c:pt>
                <c:pt idx="1">
                  <c:v>1.532996100596919</c:v>
                </c:pt>
                <c:pt idx="2">
                  <c:v>1.4124030946535329</c:v>
                </c:pt>
                <c:pt idx="3">
                  <c:v>1.3012965271145234</c:v>
                </c:pt>
                <c:pt idx="4">
                  <c:v>1.1989301481215664</c:v>
                </c:pt>
                <c:pt idx="5">
                  <c:v>1.104616411497037</c:v>
                </c:pt>
                <c:pt idx="6">
                  <c:v>1.017721856824031</c:v>
                </c:pt>
                <c:pt idx="7">
                  <c:v>0.9376628547946682</c:v>
                </c:pt>
                <c:pt idx="8">
                  <c:v>0.8639016872502</c:v>
                </c:pt>
                <c:pt idx="9">
                  <c:v>0.795942935584427</c:v>
                </c:pt>
                <c:pt idx="10">
                  <c:v>0.7333301532530472</c:v>
                </c:pt>
                <c:pt idx="11">
                  <c:v>0.6756428000397715</c:v>
                </c:pt>
                <c:pt idx="12">
                  <c:v>0.6224934174881289</c:v>
                </c:pt>
                <c:pt idx="13">
                  <c:v>0.573525026527686</c:v>
                </c:pt>
                <c:pt idx="14">
                  <c:v>0.5284087298157745</c:v>
                </c:pt>
                <c:pt idx="15">
                  <c:v>0.48684150269080106</c:v>
                </c:pt>
                <c:pt idx="16">
                  <c:v>0.4485441579000229</c:v>
                </c:pt>
                <c:pt idx="17">
                  <c:v>0.413259470431838</c:v>
                </c:pt>
                <c:pt idx="18">
                  <c:v>0.3807504498579814</c:v>
                </c:pt>
                <c:pt idx="19">
                  <c:v>0.3507987485817735</c:v>
                </c:pt>
                <c:pt idx="20">
                  <c:v>0.32320319530138236</c:v>
                </c:pt>
                <c:pt idx="21">
                  <c:v>0.29777844383807184</c:v>
                </c:pt>
                <c:pt idx="22">
                  <c:v>0.2743537282542591</c:v>
                </c:pt>
                <c:pt idx="23">
                  <c:v>0.2527717159001029</c:v>
                </c:pt>
                <c:pt idx="24">
                  <c:v>0.23288745068508265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I!$F$1</c:f>
              <c:strCache>
                <c:ptCount val="1"/>
                <c:pt idx="0">
                  <c:v>C(t,w,a)grp3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I!$C$2:$C$26</c:f>
              <c:numCache/>
            </c:numRef>
          </c:xVal>
          <c:yVal>
            <c:numRef>
              <c:f>I!$F$2:$F$26</c:f>
              <c:numCache>
                <c:ptCount val="25"/>
                <c:pt idx="0">
                  <c:v>2.929311522542285</c:v>
                </c:pt>
                <c:pt idx="1">
                  <c:v>2.2969027076988</c:v>
                </c:pt>
                <c:pt idx="2">
                  <c:v>1.8010245779716045</c:v>
                </c:pt>
                <c:pt idx="3">
                  <c:v>1.412201535391786</c:v>
                </c:pt>
                <c:pt idx="4">
                  <c:v>1.1073214663227997</c:v>
                </c:pt>
                <c:pt idx="5">
                  <c:v>0.8682619293705145</c:v>
                </c:pt>
                <c:pt idx="6">
                  <c:v>0.6808129354682283</c:v>
                </c:pt>
                <c:pt idx="7">
                  <c:v>0.5338322888772813</c:v>
                </c:pt>
                <c:pt idx="8">
                  <c:v>0.4185832815470295</c:v>
                </c:pt>
                <c:pt idx="9">
                  <c:v>0.3282153725829762</c:v>
                </c:pt>
                <c:pt idx="10">
                  <c:v>0.2573569837802479</c:v>
                </c:pt>
                <c:pt idx="11">
                  <c:v>0.20179620649463187</c:v>
                </c:pt>
                <c:pt idx="12">
                  <c:v>0.15823044067999947</c:v>
                </c:pt>
                <c:pt idx="13">
                  <c:v>0.1240700843325955</c:v>
                </c:pt>
                <c:pt idx="14">
                  <c:v>0.09728460440446154</c:v>
                </c:pt>
                <c:pt idx="15">
                  <c:v>0.07628183945423601</c:v>
                </c:pt>
                <c:pt idx="16">
                  <c:v>0.05981335963838261</c:v>
                </c:pt>
                <c:pt idx="17">
                  <c:v>0.04690025852584273</c:v>
                </c:pt>
                <c:pt idx="18">
                  <c:v>0.036774965711495716</c:v>
                </c:pt>
                <c:pt idx="19">
                  <c:v>0.028835621499538104</c:v>
                </c:pt>
                <c:pt idx="20">
                  <c:v>0.022610301632577802</c:v>
                </c:pt>
                <c:pt idx="21">
                  <c:v>0.01772896554091401</c:v>
                </c:pt>
                <c:pt idx="22">
                  <c:v>0.01390146068188836</c:v>
                </c:pt>
                <c:pt idx="23">
                  <c:v>0.01090027552053807</c:v>
                </c:pt>
                <c:pt idx="24">
                  <c:v>0.008547015967785454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I!$E$1</c:f>
              <c:strCache>
                <c:ptCount val="1"/>
                <c:pt idx="0">
                  <c:v>C(t,w,a)grp2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I!$C$2:$C$26</c:f>
              <c:numCache/>
            </c:numRef>
          </c:xVal>
          <c:yVal>
            <c:numRef>
              <c:f>I!$E$2:$E$26</c:f>
              <c:numCache>
                <c:ptCount val="25"/>
                <c:pt idx="0">
                  <c:v>0.4094255119062311</c:v>
                </c:pt>
                <c:pt idx="1">
                  <c:v>0.39960907287400377</c:v>
                </c:pt>
                <c:pt idx="2">
                  <c:v>0.39002799405375926</c:v>
                </c:pt>
                <c:pt idx="3">
                  <c:v>0.38067663241861155</c:v>
                </c:pt>
                <c:pt idx="4">
                  <c:v>0.37154948023961704</c:v>
                </c:pt>
                <c:pt idx="5">
                  <c:v>0.3626411618418537</c:v>
                </c:pt>
                <c:pt idx="6">
                  <c:v>0.35394643043827684</c:v>
                </c:pt>
                <c:pt idx="7">
                  <c:v>0.34546016503948657</c:v>
                </c:pt>
                <c:pt idx="8">
                  <c:v>0.3371773674375873</c:v>
                </c:pt>
                <c:pt idx="9">
                  <c:v>0.32909315926236243</c:v>
                </c:pt>
                <c:pt idx="10">
                  <c:v>0.32120277910803063</c:v>
                </c:pt>
                <c:pt idx="11">
                  <c:v>0.31350157972889153</c:v>
                </c:pt>
                <c:pt idx="12">
                  <c:v>0.30598502530220884</c:v>
                </c:pt>
                <c:pt idx="13">
                  <c:v>0.2986486887567188</c:v>
                </c:pt>
                <c:pt idx="14">
                  <c:v>0.29148824916519084</c:v>
                </c:pt>
                <c:pt idx="15">
                  <c:v>0.2844994891995048</c:v>
                </c:pt>
                <c:pt idx="16">
                  <c:v>0.2776782926467449</c:v>
                </c:pt>
                <c:pt idx="17">
                  <c:v>0.27102064198484854</c:v>
                </c:pt>
                <c:pt idx="18">
                  <c:v>0.26452261601638205</c:v>
                </c:pt>
                <c:pt idx="19">
                  <c:v>0.25818038755904843</c:v>
                </c:pt>
                <c:pt idx="20">
                  <c:v>0.25199022119156844</c:v>
                </c:pt>
                <c:pt idx="21">
                  <c:v>0.24594847105360676</c:v>
                </c:pt>
                <c:pt idx="22">
                  <c:v>0.2400515786984469</c:v>
                </c:pt>
                <c:pt idx="23">
                  <c:v>0.23429607099715125</c:v>
                </c:pt>
                <c:pt idx="24">
                  <c:v>0.22867855809297083</c:v>
                </c:pt>
              </c:numCache>
            </c:numRef>
          </c:yVal>
          <c:smooth val="0"/>
        </c:ser>
        <c:axId val="3882485"/>
        <c:axId val="34942366"/>
      </c:scatterChart>
      <c:valAx>
        <c:axId val="3882485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42366"/>
        <c:crossesAt val="0.01"/>
        <c:crossBetween val="midCat"/>
        <c:dispUnits/>
      </c:valAx>
      <c:valAx>
        <c:axId val="34942366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88248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P!$D$1</c:f>
              <c:strCache>
                <c:ptCount val="1"/>
                <c:pt idx="0">
                  <c:v>C(t)pop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P!$C$2:$C$26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P!$D$2:$D$26</c:f>
              <c:numCache>
                <c:ptCount val="25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  <c:pt idx="21">
                  <c:v>0.1224564282529819</c:v>
                </c:pt>
                <c:pt idx="22">
                  <c:v>0.11080315836233387</c:v>
                </c:pt>
                <c:pt idx="23">
                  <c:v>0.1002588437228037</c:v>
                </c:pt>
                <c:pt idx="24">
                  <c:v>0.09071795328941247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I!$D$1</c:f>
              <c:strCache>
                <c:ptCount val="1"/>
                <c:pt idx="0">
                  <c:v>C(t,w,a)grp1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I!$C$2:$C$26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I!$D$2:$D$26</c:f>
              <c:numCache>
                <c:ptCount val="25"/>
                <c:pt idx="0">
                  <c:v>1.663885510688321</c:v>
                </c:pt>
                <c:pt idx="1">
                  <c:v>1.532996100596919</c:v>
                </c:pt>
                <c:pt idx="2">
                  <c:v>1.4124030946535329</c:v>
                </c:pt>
                <c:pt idx="3">
                  <c:v>1.3012965271145234</c:v>
                </c:pt>
                <c:pt idx="4">
                  <c:v>1.1989301481215664</c:v>
                </c:pt>
                <c:pt idx="5">
                  <c:v>1.104616411497037</c:v>
                </c:pt>
                <c:pt idx="6">
                  <c:v>1.017721856824031</c:v>
                </c:pt>
                <c:pt idx="7">
                  <c:v>0.9376628547946682</c:v>
                </c:pt>
                <c:pt idx="8">
                  <c:v>0.8639016872502</c:v>
                </c:pt>
                <c:pt idx="9">
                  <c:v>0.795942935584427</c:v>
                </c:pt>
                <c:pt idx="10">
                  <c:v>0.7333301532530472</c:v>
                </c:pt>
                <c:pt idx="11">
                  <c:v>0.6756428000397715</c:v>
                </c:pt>
                <c:pt idx="12">
                  <c:v>0.6224934174881289</c:v>
                </c:pt>
                <c:pt idx="13">
                  <c:v>0.573525026527686</c:v>
                </c:pt>
                <c:pt idx="14">
                  <c:v>0.5284087298157745</c:v>
                </c:pt>
                <c:pt idx="15">
                  <c:v>0.48684150269080106</c:v>
                </c:pt>
                <c:pt idx="16">
                  <c:v>0.4485441579000229</c:v>
                </c:pt>
                <c:pt idx="17">
                  <c:v>0.413259470431838</c:v>
                </c:pt>
                <c:pt idx="18">
                  <c:v>0.3807504498579814</c:v>
                </c:pt>
                <c:pt idx="19">
                  <c:v>0.3507987485817735</c:v>
                </c:pt>
                <c:pt idx="20">
                  <c:v>0.32320319530138236</c:v>
                </c:pt>
                <c:pt idx="21">
                  <c:v>0.29777844383807184</c:v>
                </c:pt>
                <c:pt idx="22">
                  <c:v>0.2743537282542591</c:v>
                </c:pt>
                <c:pt idx="23">
                  <c:v>0.2527717159001029</c:v>
                </c:pt>
                <c:pt idx="24">
                  <c:v>0.23288745068508265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O!$B$1</c:f>
              <c:strCache>
                <c:ptCount val="1"/>
                <c:pt idx="0">
                  <c:v>C(t,w,a)obs1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O!$A$2:$A$26</c:f>
              <c:numCache/>
            </c:numRef>
          </c:xVal>
          <c:yVal>
            <c:numRef>
              <c:f>O!$B$2:$B$26</c:f>
              <c:numCache>
                <c:ptCount val="25"/>
                <c:pt idx="0">
                  <c:v>2.1567722906151965</c:v>
                </c:pt>
                <c:pt idx="1">
                  <c:v>1.628333343217262</c:v>
                </c:pt>
                <c:pt idx="2">
                  <c:v>1.4481324416127526</c:v>
                </c:pt>
                <c:pt idx="3">
                  <c:v>1.787741675550162</c:v>
                </c:pt>
                <c:pt idx="4">
                  <c:v>1.0539425155448456</c:v>
                </c:pt>
                <c:pt idx="5">
                  <c:v>1.1160404143308886</c:v>
                </c:pt>
                <c:pt idx="6">
                  <c:v>0.932813021409784</c:v>
                </c:pt>
                <c:pt idx="7">
                  <c:v>0.5966355231552517</c:v>
                </c:pt>
                <c:pt idx="8">
                  <c:v>0.46968249177503507</c:v>
                </c:pt>
                <c:pt idx="9">
                  <c:v>0.843305165497585</c:v>
                </c:pt>
                <c:pt idx="10">
                  <c:v>0.781660181467843</c:v>
                </c:pt>
                <c:pt idx="11">
                  <c:v>0.6241082846853561</c:v>
                </c:pt>
                <c:pt idx="12">
                  <c:v>0.5092564183569807</c:v>
                </c:pt>
                <c:pt idx="13">
                  <c:v>0.9237503140293344</c:v>
                </c:pt>
                <c:pt idx="14">
                  <c:v>0.631321587628324</c:v>
                </c:pt>
                <c:pt idx="15">
                  <c:v>0.4389520573841657</c:v>
                </c:pt>
                <c:pt idx="16">
                  <c:v>0.33660406688540656</c:v>
                </c:pt>
                <c:pt idx="17">
                  <c:v>0.41190486533814963</c:v>
                </c:pt>
                <c:pt idx="18">
                  <c:v>0.30027681081437646</c:v>
                </c:pt>
                <c:pt idx="19">
                  <c:v>0.2632579743310637</c:v>
                </c:pt>
                <c:pt idx="20">
                  <c:v>0.31334096200434547</c:v>
                </c:pt>
                <c:pt idx="21">
                  <c:v>0.2200594785468405</c:v>
                </c:pt>
                <c:pt idx="22">
                  <c:v>0.36919387704909506</c:v>
                </c:pt>
                <c:pt idx="23">
                  <c:v>0.25564800652094966</c:v>
                </c:pt>
                <c:pt idx="24">
                  <c:v>0.3126329024503026</c:v>
                </c:pt>
              </c:numCache>
            </c:numRef>
          </c:yVal>
          <c:smooth val="0"/>
        </c:ser>
        <c:axId val="46045839"/>
        <c:axId val="11759368"/>
      </c:scatterChart>
      <c:valAx>
        <c:axId val="46045839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9368"/>
        <c:crossesAt val="0.01"/>
        <c:crossBetween val="midCat"/>
        <c:dispUnits/>
      </c:valAx>
      <c:valAx>
        <c:axId val="1175936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604583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P!$D$1</c:f>
              <c:strCache>
                <c:ptCount val="1"/>
                <c:pt idx="0">
                  <c:v>C(t)pop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P!$C$2:$C$26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P!$D$2:$D$26</c:f>
              <c:numCache>
                <c:ptCount val="25"/>
                <c:pt idx="0">
                  <c:v>1</c:v>
                </c:pt>
                <c:pt idx="1">
                  <c:v>0.9048374180359595</c:v>
                </c:pt>
                <c:pt idx="2">
                  <c:v>0.8187307530779818</c:v>
                </c:pt>
                <c:pt idx="3">
                  <c:v>0.7408182206817179</c:v>
                </c:pt>
                <c:pt idx="4">
                  <c:v>0.6703200460356393</c:v>
                </c:pt>
                <c:pt idx="5">
                  <c:v>0.6065306597126334</c:v>
                </c:pt>
                <c:pt idx="6">
                  <c:v>0.5488116360940264</c:v>
                </c:pt>
                <c:pt idx="7">
                  <c:v>0.49658530379140947</c:v>
                </c:pt>
                <c:pt idx="8">
                  <c:v>0.44932896411722156</c:v>
                </c:pt>
                <c:pt idx="9">
                  <c:v>0.4065696597405991</c:v>
                </c:pt>
                <c:pt idx="10">
                  <c:v>0.36787944117144233</c:v>
                </c:pt>
                <c:pt idx="11">
                  <c:v>0.33287108369807955</c:v>
                </c:pt>
                <c:pt idx="12">
                  <c:v>0.301194211912202</c:v>
                </c:pt>
                <c:pt idx="13">
                  <c:v>0.2725317930340126</c:v>
                </c:pt>
                <c:pt idx="14">
                  <c:v>0.24659696394160643</c:v>
                </c:pt>
                <c:pt idx="15">
                  <c:v>0.22313016014842982</c:v>
                </c:pt>
                <c:pt idx="16">
                  <c:v>0.20189651799465538</c:v>
                </c:pt>
                <c:pt idx="17">
                  <c:v>0.1826835240527346</c:v>
                </c:pt>
                <c:pt idx="18">
                  <c:v>0.16529888822158653</c:v>
                </c:pt>
                <c:pt idx="19">
                  <c:v>0.14956861922263504</c:v>
                </c:pt>
                <c:pt idx="20">
                  <c:v>0.1353352832366127</c:v>
                </c:pt>
                <c:pt idx="21">
                  <c:v>0.1224564282529819</c:v>
                </c:pt>
                <c:pt idx="22">
                  <c:v>0.11080315836233387</c:v>
                </c:pt>
                <c:pt idx="23">
                  <c:v>0.1002588437228037</c:v>
                </c:pt>
                <c:pt idx="24">
                  <c:v>0.09071795328941247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I!$D$1</c:f>
              <c:strCache>
                <c:ptCount val="1"/>
                <c:pt idx="0">
                  <c:v>C(t,w,a)grp1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I!$C$2:$C$26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I!$D$2:$D$26</c:f>
              <c:numCache>
                <c:ptCount val="25"/>
                <c:pt idx="0">
                  <c:v>1.663885510688321</c:v>
                </c:pt>
                <c:pt idx="1">
                  <c:v>1.532996100596919</c:v>
                </c:pt>
                <c:pt idx="2">
                  <c:v>1.4124030946535329</c:v>
                </c:pt>
                <c:pt idx="3">
                  <c:v>1.3012965271145234</c:v>
                </c:pt>
                <c:pt idx="4">
                  <c:v>1.1989301481215664</c:v>
                </c:pt>
                <c:pt idx="5">
                  <c:v>1.104616411497037</c:v>
                </c:pt>
                <c:pt idx="6">
                  <c:v>1.017721856824031</c:v>
                </c:pt>
                <c:pt idx="7">
                  <c:v>0.9376628547946682</c:v>
                </c:pt>
                <c:pt idx="8">
                  <c:v>0.8639016872502</c:v>
                </c:pt>
                <c:pt idx="9">
                  <c:v>0.795942935584427</c:v>
                </c:pt>
                <c:pt idx="10">
                  <c:v>0.7333301532530472</c:v>
                </c:pt>
                <c:pt idx="11">
                  <c:v>0.6756428000397715</c:v>
                </c:pt>
                <c:pt idx="12">
                  <c:v>0.6224934174881289</c:v>
                </c:pt>
                <c:pt idx="13">
                  <c:v>0.573525026527686</c:v>
                </c:pt>
                <c:pt idx="14">
                  <c:v>0.5284087298157745</c:v>
                </c:pt>
                <c:pt idx="15">
                  <c:v>0.48684150269080106</c:v>
                </c:pt>
                <c:pt idx="16">
                  <c:v>0.4485441579000229</c:v>
                </c:pt>
                <c:pt idx="17">
                  <c:v>0.413259470431838</c:v>
                </c:pt>
                <c:pt idx="18">
                  <c:v>0.3807504498579814</c:v>
                </c:pt>
                <c:pt idx="19">
                  <c:v>0.3507987485817735</c:v>
                </c:pt>
                <c:pt idx="20">
                  <c:v>0.32320319530138236</c:v>
                </c:pt>
                <c:pt idx="21">
                  <c:v>0.29777844383807184</c:v>
                </c:pt>
                <c:pt idx="22">
                  <c:v>0.2743537282542591</c:v>
                </c:pt>
                <c:pt idx="23">
                  <c:v>0.2527717159001029</c:v>
                </c:pt>
                <c:pt idx="24">
                  <c:v>0.23288745068508265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O!$B$1</c:f>
              <c:strCache>
                <c:ptCount val="1"/>
                <c:pt idx="0">
                  <c:v>C(t,w,a)obs1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E!$A$2:$A$26</c:f>
              <c:numCache/>
            </c:numRef>
          </c:xVal>
          <c:yVal>
            <c:numRef>
              <c:f>O!$B$2:$B$26</c:f>
              <c:numCache>
                <c:ptCount val="25"/>
                <c:pt idx="0">
                  <c:v>2.1567722906151965</c:v>
                </c:pt>
                <c:pt idx="1">
                  <c:v>1.628333343217262</c:v>
                </c:pt>
                <c:pt idx="2">
                  <c:v>1.4481324416127526</c:v>
                </c:pt>
                <c:pt idx="3">
                  <c:v>1.787741675550162</c:v>
                </c:pt>
                <c:pt idx="4">
                  <c:v>1.0539425155448456</c:v>
                </c:pt>
                <c:pt idx="5">
                  <c:v>1.1160404143308886</c:v>
                </c:pt>
                <c:pt idx="6">
                  <c:v>0.932813021409784</c:v>
                </c:pt>
                <c:pt idx="7">
                  <c:v>0.5966355231552517</c:v>
                </c:pt>
                <c:pt idx="8">
                  <c:v>0.46968249177503507</c:v>
                </c:pt>
                <c:pt idx="9">
                  <c:v>0.843305165497585</c:v>
                </c:pt>
                <c:pt idx="10">
                  <c:v>0.781660181467843</c:v>
                </c:pt>
                <c:pt idx="11">
                  <c:v>0.6241082846853561</c:v>
                </c:pt>
                <c:pt idx="12">
                  <c:v>0.5092564183569807</c:v>
                </c:pt>
                <c:pt idx="13">
                  <c:v>0.9237503140293344</c:v>
                </c:pt>
                <c:pt idx="14">
                  <c:v>0.631321587628324</c:v>
                </c:pt>
                <c:pt idx="15">
                  <c:v>0.4389520573841657</c:v>
                </c:pt>
                <c:pt idx="16">
                  <c:v>0.33660406688540656</c:v>
                </c:pt>
                <c:pt idx="17">
                  <c:v>0.41190486533814963</c:v>
                </c:pt>
                <c:pt idx="18">
                  <c:v>0.30027681081437646</c:v>
                </c:pt>
                <c:pt idx="19">
                  <c:v>0.2632579743310637</c:v>
                </c:pt>
                <c:pt idx="20">
                  <c:v>0.31334096200434547</c:v>
                </c:pt>
                <c:pt idx="21">
                  <c:v>0.2200594785468405</c:v>
                </c:pt>
                <c:pt idx="22">
                  <c:v>0.36919387704909506</c:v>
                </c:pt>
                <c:pt idx="23">
                  <c:v>0.25564800652094966</c:v>
                </c:pt>
                <c:pt idx="24">
                  <c:v>0.3126329024503026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E!$B$1</c:f>
              <c:strCache>
                <c:ptCount val="1"/>
                <c:pt idx="0">
                  <c:v>Cexec(t)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E!$A$2:$A$26</c:f>
              <c:numCache/>
            </c:numRef>
          </c:xVal>
          <c:yVal>
            <c:numRef>
              <c:f>E!$B$2:$B$26</c:f>
              <c:numCache>
                <c:ptCount val="25"/>
                <c:pt idx="0">
                  <c:v>2.1567722906151965</c:v>
                </c:pt>
                <c:pt idx="1">
                  <c:v>1.628333343217262</c:v>
                </c:pt>
                <c:pt idx="2">
                  <c:v>1.4481324416127526</c:v>
                </c:pt>
                <c:pt idx="3">
                  <c:v>1.787741675550162</c:v>
                </c:pt>
                <c:pt idx="4">
                  <c:v>1.0539425155448456</c:v>
                </c:pt>
                <c:pt idx="5">
                  <c:v>1.1160404143308886</c:v>
                </c:pt>
                <c:pt idx="6">
                  <c:v>0.932813021409784</c:v>
                </c:pt>
                <c:pt idx="7">
                  <c:v>0.5966355231552517</c:v>
                </c:pt>
                <c:pt idx="8">
                  <c:v>0.46968249177503507</c:v>
                </c:pt>
                <c:pt idx="9">
                  <c:v>0.843305165497585</c:v>
                </c:pt>
                <c:pt idx="10">
                  <c:v>0.781660181467843</c:v>
                </c:pt>
                <c:pt idx="11">
                  <c:v>0.6241082846853561</c:v>
                </c:pt>
                <c:pt idx="12">
                  <c:v>0.5092564183569807</c:v>
                </c:pt>
                <c:pt idx="13">
                  <c:v>0.9237503140293344</c:v>
                </c:pt>
                <c:pt idx="14">
                  <c:v>0.631321587628324</c:v>
                </c:pt>
                <c:pt idx="15">
                  <c:v>0.4389520573841657</c:v>
                </c:pt>
                <c:pt idx="16">
                  <c:v>0.33660406688540656</c:v>
                </c:pt>
                <c:pt idx="17">
                  <c:v>0.41190486533814963</c:v>
                </c:pt>
                <c:pt idx="18">
                  <c:v>0.30027681081437646</c:v>
                </c:pt>
                <c:pt idx="19">
                  <c:v>0.2632579743310637</c:v>
                </c:pt>
                <c:pt idx="20">
                  <c:v>0.31334096200434547</c:v>
                </c:pt>
                <c:pt idx="21">
                  <c:v>0.2200594785468405</c:v>
                </c:pt>
                <c:pt idx="22">
                  <c:v>0.36919387704909506</c:v>
                </c:pt>
                <c:pt idx="23">
                  <c:v>0.25564800652094966</c:v>
                </c:pt>
                <c:pt idx="24">
                  <c:v>0.3126329024503026</c:v>
                </c:pt>
              </c:numCache>
            </c:numRef>
          </c:yVal>
          <c:smooth val="0"/>
        </c:ser>
        <c:axId val="38725449"/>
        <c:axId val="12984722"/>
      </c:scatterChart>
      <c:valAx>
        <c:axId val="38725449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84722"/>
        <c:crossesAt val="0.01"/>
        <c:crossBetween val="midCat"/>
        <c:dispUnits/>
      </c:valAx>
      <c:valAx>
        <c:axId val="12984722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872544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9525</xdr:rowOff>
    </xdr:from>
    <xdr:to>
      <xdr:col>13</xdr:col>
      <xdr:colOff>600075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133600" y="9525"/>
        <a:ext cx="6057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26</xdr:row>
      <xdr:rowOff>152400</xdr:rowOff>
    </xdr:from>
    <xdr:to>
      <xdr:col>15</xdr:col>
      <xdr:colOff>600075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4000500" y="4362450"/>
        <a:ext cx="6038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0</xdr:row>
      <xdr:rowOff>9525</xdr:rowOff>
    </xdr:from>
    <xdr:to>
      <xdr:col>16</xdr:col>
      <xdr:colOff>28575</xdr:colOff>
      <xdr:row>25</xdr:row>
      <xdr:rowOff>104775</xdr:rowOff>
    </xdr:to>
    <xdr:graphicFrame>
      <xdr:nvGraphicFramePr>
        <xdr:cNvPr id="2" name="Chart 3"/>
        <xdr:cNvGraphicFramePr/>
      </xdr:nvGraphicFramePr>
      <xdr:xfrm>
        <a:off x="4019550" y="9525"/>
        <a:ext cx="60579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16</xdr:col>
      <xdr:colOff>28575</xdr:colOff>
      <xdr:row>25</xdr:row>
      <xdr:rowOff>133350</xdr:rowOff>
    </xdr:to>
    <xdr:graphicFrame>
      <xdr:nvGraphicFramePr>
        <xdr:cNvPr id="1" name="Chart 3"/>
        <xdr:cNvGraphicFramePr/>
      </xdr:nvGraphicFramePr>
      <xdr:xfrm>
        <a:off x="3895725" y="0"/>
        <a:ext cx="6057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9525</xdr:rowOff>
    </xdr:from>
    <xdr:to>
      <xdr:col>11</xdr:col>
      <xdr:colOff>590550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1143000" y="9525"/>
        <a:ext cx="60483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28575</xdr:rowOff>
    </xdr:from>
    <xdr:to>
      <xdr:col>11</xdr:col>
      <xdr:colOff>600075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076325" y="28575"/>
        <a:ext cx="60483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5" sqref="A25"/>
    </sheetView>
  </sheetViews>
  <sheetFormatPr defaultColWidth="9.140625" defaultRowHeight="12.75"/>
  <cols>
    <col min="1" max="1" width="20.00390625" style="0" customWidth="1"/>
    <col min="2" max="2" width="12.140625" style="0" customWidth="1"/>
    <col min="4" max="4" width="6.7109375" style="0" customWidth="1"/>
    <col min="6" max="6" width="38.57421875" style="0" customWidth="1"/>
  </cols>
  <sheetData>
    <row r="1" spans="1:6" ht="12.75">
      <c r="A1" s="6" t="s">
        <v>67</v>
      </c>
      <c r="B1" s="6" t="s">
        <v>73</v>
      </c>
      <c r="C1" s="6" t="s">
        <v>1</v>
      </c>
      <c r="D1" s="6" t="s">
        <v>2</v>
      </c>
      <c r="E1" s="6" t="s">
        <v>74</v>
      </c>
      <c r="F1" s="6" t="s">
        <v>22</v>
      </c>
    </row>
    <row r="3" spans="1:6" ht="12.75">
      <c r="A3" t="s">
        <v>70</v>
      </c>
      <c r="B3" t="s">
        <v>71</v>
      </c>
      <c r="C3" t="s">
        <v>101</v>
      </c>
      <c r="D3">
        <v>70</v>
      </c>
      <c r="E3" t="s">
        <v>75</v>
      </c>
      <c r="F3" t="s">
        <v>79</v>
      </c>
    </row>
    <row r="4" spans="3:6" ht="12.75">
      <c r="C4" t="s">
        <v>100</v>
      </c>
      <c r="D4">
        <v>40</v>
      </c>
      <c r="E4" t="s">
        <v>76</v>
      </c>
      <c r="F4" t="s">
        <v>80</v>
      </c>
    </row>
    <row r="5" spans="2:6" ht="12.75">
      <c r="B5" t="s">
        <v>25</v>
      </c>
      <c r="C5" t="s">
        <v>5</v>
      </c>
      <c r="D5">
        <v>0.3</v>
      </c>
      <c r="F5" t="s">
        <v>83</v>
      </c>
    </row>
    <row r="6" spans="3:6" ht="12.75">
      <c r="C6" t="s">
        <v>6</v>
      </c>
      <c r="D6">
        <v>0.3</v>
      </c>
      <c r="F6" t="s">
        <v>84</v>
      </c>
    </row>
    <row r="8" spans="1:6" ht="12.75">
      <c r="A8" t="s">
        <v>72</v>
      </c>
      <c r="B8" t="s">
        <v>71</v>
      </c>
      <c r="C8" t="s">
        <v>0</v>
      </c>
      <c r="D8">
        <v>100</v>
      </c>
      <c r="E8" t="s">
        <v>88</v>
      </c>
      <c r="F8" t="s">
        <v>0</v>
      </c>
    </row>
    <row r="9" spans="3:6" ht="12.75">
      <c r="C9" t="s">
        <v>23</v>
      </c>
      <c r="D9">
        <v>100</v>
      </c>
      <c r="E9" t="s">
        <v>90</v>
      </c>
      <c r="F9" t="s">
        <v>78</v>
      </c>
    </row>
    <row r="10" spans="3:6" ht="12.75">
      <c r="C10" t="s">
        <v>99</v>
      </c>
      <c r="D10">
        <v>10</v>
      </c>
      <c r="E10" t="s">
        <v>91</v>
      </c>
      <c r="F10" t="s">
        <v>77</v>
      </c>
    </row>
    <row r="12" spans="2:6" ht="14.25">
      <c r="B12" t="s">
        <v>24</v>
      </c>
      <c r="C12" t="s">
        <v>95</v>
      </c>
      <c r="D12">
        <v>0.01</v>
      </c>
      <c r="E12" t="s">
        <v>92</v>
      </c>
      <c r="F12" t="s">
        <v>93</v>
      </c>
    </row>
    <row r="13" spans="3:6" ht="14.25">
      <c r="C13" t="s">
        <v>96</v>
      </c>
      <c r="D13">
        <v>-0.01</v>
      </c>
      <c r="E13" t="s">
        <v>92</v>
      </c>
      <c r="F13" t="s">
        <v>94</v>
      </c>
    </row>
    <row r="15" spans="2:6" ht="12.75">
      <c r="B15" t="s">
        <v>25</v>
      </c>
      <c r="C15" t="s">
        <v>97</v>
      </c>
      <c r="D15">
        <v>0.5</v>
      </c>
      <c r="F15" t="s">
        <v>81</v>
      </c>
    </row>
    <row r="16" spans="3:6" ht="12.75">
      <c r="C16" t="s">
        <v>98</v>
      </c>
      <c r="D16">
        <v>0.5</v>
      </c>
      <c r="F16" t="s">
        <v>82</v>
      </c>
    </row>
    <row r="18" spans="2:6" ht="12.75">
      <c r="B18" t="s">
        <v>69</v>
      </c>
      <c r="C18" t="s">
        <v>19</v>
      </c>
      <c r="D18">
        <v>0.05</v>
      </c>
      <c r="E18" t="s">
        <v>87</v>
      </c>
      <c r="F18" t="s">
        <v>86</v>
      </c>
    </row>
    <row r="19" spans="3:6" ht="12.75">
      <c r="C19" t="s">
        <v>20</v>
      </c>
      <c r="D19">
        <v>0.2</v>
      </c>
      <c r="F19" t="s">
        <v>85</v>
      </c>
    </row>
    <row r="21" spans="1:6" ht="12.75">
      <c r="A21" t="s">
        <v>68</v>
      </c>
      <c r="B21" t="s">
        <v>69</v>
      </c>
      <c r="C21" t="s">
        <v>21</v>
      </c>
      <c r="D21">
        <v>0.05</v>
      </c>
      <c r="E21" t="s">
        <v>87</v>
      </c>
      <c r="F21" t="s">
        <v>89</v>
      </c>
    </row>
    <row r="27" spans="3:6" ht="12.75">
      <c r="C27" s="3"/>
      <c r="F27" s="1"/>
    </row>
    <row r="28" spans="3:6" ht="12.75">
      <c r="C28" s="3"/>
      <c r="F28" s="1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spans="3:6" ht="12.75">
      <c r="C33" s="3"/>
      <c r="F33" s="1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spans="3:6" ht="12.75">
      <c r="C38" s="3"/>
      <c r="F38" s="1"/>
    </row>
    <row r="39" ht="12.75">
      <c r="C39" s="3"/>
    </row>
    <row r="40" ht="12.75">
      <c r="C40" s="3"/>
    </row>
    <row r="41" ht="12.75">
      <c r="C41" s="3"/>
    </row>
    <row r="42" ht="12.75">
      <c r="C42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4.140625" style="0" customWidth="1"/>
  </cols>
  <sheetData>
    <row r="1" spans="1:4" ht="12.75">
      <c r="A1" t="s">
        <v>37</v>
      </c>
      <c r="B1" t="s">
        <v>2</v>
      </c>
      <c r="C1" t="s">
        <v>3</v>
      </c>
      <c r="D1" t="s">
        <v>4</v>
      </c>
    </row>
    <row r="2" spans="1:4" ht="12.75">
      <c r="A2" t="s">
        <v>39</v>
      </c>
      <c r="B2">
        <f>Vstd</f>
        <v>100</v>
      </c>
      <c r="C2">
        <v>0</v>
      </c>
      <c r="D2" s="2">
        <f>Dose/Vpop*EXP(-Clpop/Vpop*t)</f>
        <v>1</v>
      </c>
    </row>
    <row r="3" spans="1:4" ht="12.75">
      <c r="A3" t="s">
        <v>38</v>
      </c>
      <c r="B3">
        <f>CLstd</f>
        <v>10</v>
      </c>
      <c r="C3">
        <v>1</v>
      </c>
      <c r="D3" s="2">
        <f aca="true" t="shared" si="0" ref="D3:D26">Dose/Vpop*EXP(-Clpop/Vpop*t)</f>
        <v>0.9048374180359595</v>
      </c>
    </row>
    <row r="4" spans="3:4" ht="12.75">
      <c r="C4">
        <v>2</v>
      </c>
      <c r="D4" s="2">
        <f t="shared" si="0"/>
        <v>0.8187307530779818</v>
      </c>
    </row>
    <row r="5" spans="3:4" ht="12.75">
      <c r="C5">
        <v>3</v>
      </c>
      <c r="D5" s="2">
        <f t="shared" si="0"/>
        <v>0.7408182206817179</v>
      </c>
    </row>
    <row r="6" spans="3:4" ht="12.75">
      <c r="C6">
        <v>4</v>
      </c>
      <c r="D6" s="2">
        <f t="shared" si="0"/>
        <v>0.6703200460356393</v>
      </c>
    </row>
    <row r="7" spans="3:4" ht="12.75">
      <c r="C7">
        <v>5</v>
      </c>
      <c r="D7" s="2">
        <f t="shared" si="0"/>
        <v>0.6065306597126334</v>
      </c>
    </row>
    <row r="8" spans="3:4" ht="12.75">
      <c r="C8">
        <v>6</v>
      </c>
      <c r="D8" s="2">
        <f t="shared" si="0"/>
        <v>0.5488116360940264</v>
      </c>
    </row>
    <row r="9" spans="3:4" ht="12.75">
      <c r="C9">
        <v>7</v>
      </c>
      <c r="D9" s="2">
        <f t="shared" si="0"/>
        <v>0.49658530379140947</v>
      </c>
    </row>
    <row r="10" spans="3:4" ht="12.75">
      <c r="C10">
        <v>8</v>
      </c>
      <c r="D10" s="2">
        <f t="shared" si="0"/>
        <v>0.44932896411722156</v>
      </c>
    </row>
    <row r="11" spans="3:4" ht="12.75">
      <c r="C11">
        <v>9</v>
      </c>
      <c r="D11" s="2">
        <f t="shared" si="0"/>
        <v>0.4065696597405991</v>
      </c>
    </row>
    <row r="12" spans="3:4" ht="12.75">
      <c r="C12">
        <v>10</v>
      </c>
      <c r="D12" s="2">
        <f t="shared" si="0"/>
        <v>0.36787944117144233</v>
      </c>
    </row>
    <row r="13" spans="3:4" ht="12.75">
      <c r="C13">
        <v>11</v>
      </c>
      <c r="D13" s="2">
        <f t="shared" si="0"/>
        <v>0.33287108369807955</v>
      </c>
    </row>
    <row r="14" spans="3:4" ht="12.75">
      <c r="C14">
        <v>12</v>
      </c>
      <c r="D14" s="2">
        <f t="shared" si="0"/>
        <v>0.301194211912202</v>
      </c>
    </row>
    <row r="15" spans="3:4" ht="12.75">
      <c r="C15">
        <v>13</v>
      </c>
      <c r="D15" s="2">
        <f t="shared" si="0"/>
        <v>0.2725317930340126</v>
      </c>
    </row>
    <row r="16" spans="3:4" ht="12.75">
      <c r="C16">
        <v>14</v>
      </c>
      <c r="D16" s="2">
        <f t="shared" si="0"/>
        <v>0.24659696394160643</v>
      </c>
    </row>
    <row r="17" spans="3:4" ht="12.75">
      <c r="C17">
        <v>15</v>
      </c>
      <c r="D17" s="2">
        <f t="shared" si="0"/>
        <v>0.22313016014842982</v>
      </c>
    </row>
    <row r="18" spans="3:4" ht="12.75">
      <c r="C18">
        <v>16</v>
      </c>
      <c r="D18" s="2">
        <f t="shared" si="0"/>
        <v>0.20189651799465538</v>
      </c>
    </row>
    <row r="19" spans="3:4" ht="12.75">
      <c r="C19">
        <v>17</v>
      </c>
      <c r="D19" s="2">
        <f t="shared" si="0"/>
        <v>0.1826835240527346</v>
      </c>
    </row>
    <row r="20" spans="3:4" ht="12.75">
      <c r="C20">
        <v>18</v>
      </c>
      <c r="D20" s="2">
        <f t="shared" si="0"/>
        <v>0.16529888822158653</v>
      </c>
    </row>
    <row r="21" spans="3:4" ht="12.75">
      <c r="C21">
        <v>19</v>
      </c>
      <c r="D21" s="2">
        <f t="shared" si="0"/>
        <v>0.14956861922263504</v>
      </c>
    </row>
    <row r="22" spans="3:4" ht="12.75">
      <c r="C22">
        <v>20</v>
      </c>
      <c r="D22" s="2">
        <f t="shared" si="0"/>
        <v>0.1353352832366127</v>
      </c>
    </row>
    <row r="23" spans="3:4" ht="12.75">
      <c r="C23">
        <v>21</v>
      </c>
      <c r="D23" s="2">
        <f t="shared" si="0"/>
        <v>0.1224564282529819</v>
      </c>
    </row>
    <row r="24" spans="3:4" ht="12.75">
      <c r="C24">
        <v>22</v>
      </c>
      <c r="D24" s="2">
        <f t="shared" si="0"/>
        <v>0.11080315836233387</v>
      </c>
    </row>
    <row r="25" spans="3:4" ht="12.75">
      <c r="C25">
        <v>23</v>
      </c>
      <c r="D25" s="2">
        <f t="shared" si="0"/>
        <v>0.1002588437228037</v>
      </c>
    </row>
    <row r="26" spans="3:4" ht="12.75">
      <c r="C26">
        <v>24</v>
      </c>
      <c r="D26" s="2">
        <f t="shared" si="0"/>
        <v>0.09071795328941247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9">
      <selection activeCell="A1" sqref="A1"/>
    </sheetView>
  </sheetViews>
  <sheetFormatPr defaultColWidth="9.140625" defaultRowHeight="12.75"/>
  <cols>
    <col min="3" max="3" width="4.7109375" style="0" customWidth="1"/>
    <col min="4" max="4" width="12.140625" style="0" customWidth="1"/>
    <col min="5" max="5" width="11.8515625" style="0" customWidth="1"/>
    <col min="6" max="6" width="12.28125" style="0" customWidth="1"/>
  </cols>
  <sheetData>
    <row r="1" spans="1:6" ht="12.75">
      <c r="A1" t="s">
        <v>37</v>
      </c>
      <c r="B1" t="s">
        <v>2</v>
      </c>
      <c r="C1" t="str">
        <f>P!C1</f>
        <v>t</v>
      </c>
      <c r="D1" t="s">
        <v>29</v>
      </c>
      <c r="E1" t="s">
        <v>30</v>
      </c>
      <c r="F1" t="s">
        <v>31</v>
      </c>
    </row>
    <row r="2" spans="1:6" ht="12.75">
      <c r="A2" t="s">
        <v>52</v>
      </c>
      <c r="B2" s="5">
        <v>100</v>
      </c>
      <c r="C2">
        <f>P!C2</f>
        <v>0</v>
      </c>
      <c r="D2" s="2">
        <f>Dose/VgrpA*EXP(-CLgrpA/VgrpA*t)</f>
        <v>0.7</v>
      </c>
      <c r="E2" s="2">
        <f>Dose/VgrpB*EXP(-CLgrpB/VgrpB*t)</f>
        <v>1.4</v>
      </c>
      <c r="F2" s="2">
        <f>Dose/VgrpC*EXP(-CLgrpC/VgrpC*t)</f>
        <v>2.8</v>
      </c>
    </row>
    <row r="3" spans="1:6" ht="12.75">
      <c r="A3" t="s">
        <v>53</v>
      </c>
      <c r="B3" s="5">
        <v>25</v>
      </c>
      <c r="C3">
        <f>P!C3</f>
        <v>1</v>
      </c>
      <c r="D3" s="2">
        <f aca="true" t="shared" si="0" ref="D3:D26">Dose/VgrpA*EXP(-CLgrpA/VgrpA*t)</f>
        <v>0.6388126463080358</v>
      </c>
      <c r="E3" s="2">
        <f aca="true" t="shared" si="1" ref="E3:E26">Dose/VgrpB*EXP(-CLgrpB/VgrpB*t)</f>
        <v>1.2557041689493844</v>
      </c>
      <c r="F3" s="2">
        <f aca="true" t="shared" si="2" ref="F3:F26">Dose/VgrpC*EXP(-CLgrpC/VgrpC*t)</f>
        <v>2.460248951005029</v>
      </c>
    </row>
    <row r="4" spans="1:6" ht="12.75">
      <c r="A4" t="s">
        <v>54</v>
      </c>
      <c r="B4" s="5">
        <v>50</v>
      </c>
      <c r="C4">
        <f>P!C4</f>
        <v>2</v>
      </c>
      <c r="D4" s="2">
        <f t="shared" si="0"/>
        <v>0.5829737101186796</v>
      </c>
      <c r="E4" s="2">
        <f t="shared" si="1"/>
        <v>1.1262806856549028</v>
      </c>
      <c r="F4" s="2">
        <f t="shared" si="2"/>
        <v>2.1617231789004805</v>
      </c>
    </row>
    <row r="5" spans="3:6" ht="12.75">
      <c r="C5">
        <f>P!C5</f>
        <v>3</v>
      </c>
      <c r="D5" s="2">
        <f t="shared" si="0"/>
        <v>0.5320156835556107</v>
      </c>
      <c r="E5" s="2">
        <f t="shared" si="1"/>
        <v>1.010196680274309</v>
      </c>
      <c r="F5" s="2">
        <f t="shared" si="2"/>
        <v>1.8994204225904157</v>
      </c>
    </row>
    <row r="6" spans="1:6" ht="12.75">
      <c r="A6" t="s">
        <v>41</v>
      </c>
      <c r="B6" s="1">
        <f>Vstd*WTA/WTstd</f>
        <v>142.85714285714286</v>
      </c>
      <c r="C6">
        <f>P!C6</f>
        <v>4</v>
      </c>
      <c r="D6" s="2">
        <f t="shared" si="0"/>
        <v>0.4855119238421976</v>
      </c>
      <c r="E6" s="2">
        <f t="shared" si="1"/>
        <v>0.9060772734851986</v>
      </c>
      <c r="F6" s="2">
        <f t="shared" si="2"/>
        <v>1.6689453936412855</v>
      </c>
    </row>
    <row r="7" spans="1:6" ht="12.75">
      <c r="A7" t="s">
        <v>40</v>
      </c>
      <c r="B7" s="1">
        <f>CLstd*(WTA/WTstd)^0.75</f>
        <v>13.067017417552778</v>
      </c>
      <c r="C7">
        <f>P!C7</f>
        <v>5</v>
      </c>
      <c r="D7" s="2">
        <f t="shared" si="0"/>
        <v>0.44307308126248546</v>
      </c>
      <c r="E7" s="2">
        <f t="shared" si="1"/>
        <v>0.8126892926468968</v>
      </c>
      <c r="F7" s="2">
        <f t="shared" si="2"/>
        <v>1.4664361264252312</v>
      </c>
    </row>
    <row r="8" spans="2:6" ht="12.75">
      <c r="B8" s="1"/>
      <c r="C8">
        <f>P!C8</f>
        <v>6</v>
      </c>
      <c r="D8" s="2">
        <f t="shared" si="0"/>
        <v>0.40434383935591967</v>
      </c>
      <c r="E8" s="2">
        <f t="shared" si="1"/>
        <v>0.7289266663123103</v>
      </c>
      <c r="F8" s="2">
        <f t="shared" si="2"/>
        <v>1.2884992649119833</v>
      </c>
    </row>
    <row r="9" spans="1:6" ht="12.75">
      <c r="A9" t="s">
        <v>43</v>
      </c>
      <c r="B9" s="1">
        <f>Vstd*WTB/WTstd</f>
        <v>71.42857142857143</v>
      </c>
      <c r="C9">
        <f>P!C9</f>
        <v>7</v>
      </c>
      <c r="D9" s="2">
        <f t="shared" si="0"/>
        <v>0.3689999400532949</v>
      </c>
      <c r="E9" s="2">
        <f t="shared" si="1"/>
        <v>0.6537973241048177</v>
      </c>
      <c r="F9" s="2">
        <f t="shared" si="2"/>
        <v>1.1321532017394493</v>
      </c>
    </row>
    <row r="10" spans="1:6" ht="12.75">
      <c r="A10" t="s">
        <v>42</v>
      </c>
      <c r="B10" s="1">
        <f>CLstd*(WTB/WTstd)^0.75</f>
        <v>7.769695042409123</v>
      </c>
      <c r="C10">
        <f>P!C10</f>
        <v>8</v>
      </c>
      <c r="D10" s="2">
        <f t="shared" si="0"/>
        <v>0.3367454688470741</v>
      </c>
      <c r="E10" s="2">
        <f t="shared" si="1"/>
        <v>0.5864114468045512</v>
      </c>
      <c r="F10" s="2">
        <f t="shared" si="2"/>
        <v>0.9947781167701661</v>
      </c>
    </row>
    <row r="11" spans="2:6" ht="12.75">
      <c r="B11" s="1"/>
      <c r="C11">
        <f>P!C11</f>
        <v>9</v>
      </c>
      <c r="D11" s="2">
        <f t="shared" si="0"/>
        <v>0.3073103772663424</v>
      </c>
      <c r="E11" s="2">
        <f t="shared" si="1"/>
        <v>0.5259709274800821</v>
      </c>
      <c r="F11" s="2">
        <f t="shared" si="2"/>
        <v>0.8740720779523425</v>
      </c>
    </row>
    <row r="12" spans="1:6" ht="12.75">
      <c r="A12" t="s">
        <v>45</v>
      </c>
      <c r="B12" s="1">
        <f>Vstd*WTC/WTstd</f>
        <v>35.714285714285715</v>
      </c>
      <c r="C12">
        <f>P!C12</f>
        <v>10</v>
      </c>
      <c r="D12" s="2">
        <f t="shared" si="0"/>
        <v>0.2804482219134758</v>
      </c>
      <c r="E12" s="2">
        <f t="shared" si="1"/>
        <v>0.47175991884493823</v>
      </c>
      <c r="F12" s="2">
        <f t="shared" si="2"/>
        <v>0.7680124688875132</v>
      </c>
    </row>
    <row r="13" spans="1:6" ht="12.75">
      <c r="A13" t="s">
        <v>44</v>
      </c>
      <c r="B13" s="1">
        <f>CLstd*(WTC/WTstd)^0.75</f>
        <v>4.6198883129171495</v>
      </c>
      <c r="C13">
        <f>P!C13</f>
        <v>11</v>
      </c>
      <c r="D13" s="2">
        <f t="shared" si="0"/>
        <v>0.2559341011327583</v>
      </c>
      <c r="E13" s="2">
        <f t="shared" si="1"/>
        <v>0.4231363548834372</v>
      </c>
      <c r="F13" s="2">
        <f t="shared" si="2"/>
        <v>0.674822096764031</v>
      </c>
    </row>
    <row r="14" spans="3:6" ht="12.75">
      <c r="C14">
        <f>P!C14</f>
        <v>12</v>
      </c>
      <c r="D14" s="2">
        <f t="shared" si="0"/>
        <v>0.2335627720358368</v>
      </c>
      <c r="E14" s="2">
        <f t="shared" si="1"/>
        <v>0.37952434632941306</v>
      </c>
      <c r="F14" s="2">
        <f t="shared" si="2"/>
        <v>0.5929394127424005</v>
      </c>
    </row>
    <row r="15" spans="3:6" ht="12.75">
      <c r="C15">
        <f>P!C15</f>
        <v>13</v>
      </c>
      <c r="D15" s="2">
        <f t="shared" si="0"/>
        <v>0.21314693211893354</v>
      </c>
      <c r="E15" s="2">
        <f t="shared" si="1"/>
        <v>0.34040735993116716</v>
      </c>
      <c r="F15" s="2">
        <f t="shared" si="2"/>
        <v>0.5209923457889387</v>
      </c>
    </row>
    <row r="16" spans="3:6" ht="12.75">
      <c r="C16">
        <f>P!C16</f>
        <v>14</v>
      </c>
      <c r="D16" s="2">
        <f t="shared" si="0"/>
        <v>0.1945156510847646</v>
      </c>
      <c r="E16" s="2">
        <f t="shared" si="1"/>
        <v>0.30532210071901444</v>
      </c>
      <c r="F16" s="2">
        <f t="shared" si="2"/>
        <v>0.45777531150317363</v>
      </c>
    </row>
    <row r="17" spans="3:6" ht="12.75">
      <c r="C17">
        <f>P!C17</f>
        <v>15</v>
      </c>
      <c r="D17" s="2">
        <f t="shared" si="0"/>
        <v>0.1775129397396986</v>
      </c>
      <c r="E17" s="2">
        <f t="shared" si="1"/>
        <v>0.2738530248180359</v>
      </c>
      <c r="F17" s="2">
        <f t="shared" si="2"/>
        <v>0.4022290106863155</v>
      </c>
    </row>
    <row r="18" spans="3:6" ht="12.75">
      <c r="C18">
        <f>P!C18</f>
        <v>16</v>
      </c>
      <c r="D18" s="2">
        <f t="shared" si="0"/>
        <v>0.16199644398433682</v>
      </c>
      <c r="E18" s="2">
        <f t="shared" si="1"/>
        <v>0.24562741781671923</v>
      </c>
      <c r="F18" s="2">
        <f t="shared" si="2"/>
        <v>0.35342267914457076</v>
      </c>
    </row>
    <row r="19" spans="3:6" ht="12.75">
      <c r="C19">
        <f>P!C19</f>
        <v>17</v>
      </c>
      <c r="D19" s="2">
        <f t="shared" si="0"/>
        <v>0.14783625296303674</v>
      </c>
      <c r="E19" s="2">
        <f t="shared" si="1"/>
        <v>0.220310980400519</v>
      </c>
      <c r="F19" s="2">
        <f t="shared" si="2"/>
        <v>0.3105384912952919</v>
      </c>
    </row>
    <row r="20" spans="3:6" ht="12.75">
      <c r="C20">
        <f>P!C20</f>
        <v>18</v>
      </c>
      <c r="D20" s="2">
        <f t="shared" si="0"/>
        <v>0.13491381139368816</v>
      </c>
      <c r="E20" s="2">
        <f t="shared" si="1"/>
        <v>0.19760386896732707</v>
      </c>
      <c r="F20" s="2">
        <f t="shared" si="2"/>
        <v>0.2728578562342593</v>
      </c>
    </row>
    <row r="21" spans="3:6" ht="12.75">
      <c r="C21">
        <f>P!C21</f>
        <v>19</v>
      </c>
      <c r="D21" s="2">
        <f t="shared" si="0"/>
        <v>0.12312092697129311</v>
      </c>
      <c r="E21" s="2">
        <f t="shared" si="1"/>
        <v>0.17723714433057178</v>
      </c>
      <c r="F21" s="2">
        <f t="shared" si="2"/>
        <v>0.2397493766335063</v>
      </c>
    </row>
    <row r="22" spans="3:6" ht="12.75">
      <c r="C22">
        <f>P!C22</f>
        <v>20</v>
      </c>
      <c r="D22" s="2">
        <f t="shared" si="0"/>
        <v>0.11235886453490027</v>
      </c>
      <c r="E22" s="2">
        <f t="shared" si="1"/>
        <v>0.15896958644898765</v>
      </c>
      <c r="F22" s="2">
        <f t="shared" si="2"/>
        <v>0.21065826870239052</v>
      </c>
    </row>
    <row r="23" spans="3:6" ht="12.75">
      <c r="C23">
        <f>P!C23</f>
        <v>21</v>
      </c>
      <c r="D23" s="2">
        <f t="shared" si="0"/>
        <v>0.10253751941386535</v>
      </c>
      <c r="E23" s="2">
        <f t="shared" si="1"/>
        <v>0.1425848374572524</v>
      </c>
      <c r="F23" s="2">
        <f t="shared" si="2"/>
        <v>0.18509706592699707</v>
      </c>
    </row>
    <row r="24" spans="3:6" ht="12.75">
      <c r="C24">
        <f>P!C24</f>
        <v>22</v>
      </c>
      <c r="D24" s="2">
        <f t="shared" si="0"/>
        <v>0.09357466303233278</v>
      </c>
      <c r="E24" s="2">
        <f t="shared" si="1"/>
        <v>0.1278888391600301</v>
      </c>
      <c r="F24" s="2">
        <f t="shared" si="2"/>
        <v>0.16263745081464406</v>
      </c>
    </row>
    <row r="25" spans="3:6" ht="12.75">
      <c r="C25">
        <f>P!C25</f>
        <v>23</v>
      </c>
      <c r="D25" s="2">
        <f t="shared" si="0"/>
        <v>0.08539525445581034</v>
      </c>
      <c r="E25" s="2">
        <f t="shared" si="1"/>
        <v>0.11470753463953362</v>
      </c>
      <c r="F25" s="2">
        <f t="shared" si="2"/>
        <v>0.1429030777717357</v>
      </c>
    </row>
    <row r="26" spans="3:6" ht="12.75">
      <c r="C26">
        <f>P!C26</f>
        <v>24</v>
      </c>
      <c r="D26" s="2">
        <f t="shared" si="0"/>
        <v>0.07793081211580612</v>
      </c>
      <c r="E26" s="2">
        <f t="shared" si="1"/>
        <v>0.10288480675483448</v>
      </c>
      <c r="F26" s="2">
        <f t="shared" si="2"/>
        <v>0.12556326685117958</v>
      </c>
    </row>
    <row r="28" spans="1:6" ht="12.75">
      <c r="A28" t="s">
        <v>37</v>
      </c>
      <c r="B28" t="s">
        <v>2</v>
      </c>
      <c r="C28" t="str">
        <f>P!C1</f>
        <v>t</v>
      </c>
      <c r="D28" t="s">
        <v>26</v>
      </c>
      <c r="E28" t="s">
        <v>27</v>
      </c>
      <c r="F28" t="s">
        <v>28</v>
      </c>
    </row>
    <row r="29" spans="1:6" ht="12.75">
      <c r="A29" t="s">
        <v>49</v>
      </c>
      <c r="B29" s="5">
        <v>100</v>
      </c>
      <c r="C29">
        <f>P!C2</f>
        <v>0</v>
      </c>
      <c r="D29" s="2">
        <f>Dose/VgrpD*EXP(-CLgrpD/VgrpD*t)</f>
        <v>0.8549819307121189</v>
      </c>
      <c r="E29" s="2">
        <f>Dose/VgrpE*EXP(-CLgrpE/VgrpE*t)</f>
        <v>2.8</v>
      </c>
      <c r="F29" s="2">
        <f>Dose/VgrpF*EXP(-CLgrpF/VgrpF*t)</f>
        <v>0.938448064449895</v>
      </c>
    </row>
    <row r="30" spans="1:6" ht="12.75">
      <c r="A30" t="s">
        <v>46</v>
      </c>
      <c r="B30" s="5">
        <v>20</v>
      </c>
      <c r="C30">
        <f>P!C3</f>
        <v>1</v>
      </c>
      <c r="D30" s="2">
        <f aca="true" t="shared" si="3" ref="D30:D53">Dose/VgrpD*EXP(-CLgrpD/VgrpD*t)</f>
        <v>0.7459245382208589</v>
      </c>
      <c r="E30" s="2">
        <f aca="true" t="shared" si="4" ref="E30:E53">Dose/VgrpE*EXP(-CLgrpE/VgrpE*t)</f>
        <v>2.460248951005029</v>
      </c>
      <c r="F30" s="2">
        <f aca="true" t="shared" si="5" ref="F30:F53">Dose/VgrpF*EXP(-CLgrpF/VgrpF*t)</f>
        <v>0.8936832708676214</v>
      </c>
    </row>
    <row r="31" spans="1:6" ht="12.75">
      <c r="A31" s="4" t="s">
        <v>50</v>
      </c>
      <c r="B31" s="5">
        <v>25</v>
      </c>
      <c r="C31">
        <f>P!C4</f>
        <v>2</v>
      </c>
      <c r="D31" s="2">
        <f t="shared" si="3"/>
        <v>0.6507779834090415</v>
      </c>
      <c r="E31" s="2">
        <f t="shared" si="4"/>
        <v>2.1617231789004805</v>
      </c>
      <c r="F31" s="2">
        <f t="shared" si="5"/>
        <v>0.8510537970972526</v>
      </c>
    </row>
    <row r="32" spans="1:6" ht="12.75">
      <c r="A32" t="s">
        <v>47</v>
      </c>
      <c r="B32" s="5">
        <v>40</v>
      </c>
      <c r="C32">
        <f>P!C5</f>
        <v>3</v>
      </c>
      <c r="D32" s="2">
        <f t="shared" si="3"/>
        <v>0.567767866572774</v>
      </c>
      <c r="E32" s="2">
        <f t="shared" si="4"/>
        <v>1.8994204225904157</v>
      </c>
      <c r="F32" s="2">
        <f t="shared" si="5"/>
        <v>0.8104577865158884</v>
      </c>
    </row>
    <row r="33" spans="1:6" ht="12.75">
      <c r="A33" t="s">
        <v>51</v>
      </c>
      <c r="B33" s="5">
        <v>50</v>
      </c>
      <c r="C33">
        <f>P!C6</f>
        <v>4</v>
      </c>
      <c r="D33" s="2">
        <f t="shared" si="3"/>
        <v>0.49534612192001914</v>
      </c>
      <c r="E33" s="2">
        <f t="shared" si="4"/>
        <v>1.6689453936412855</v>
      </c>
      <c r="F33" s="2">
        <f t="shared" si="5"/>
        <v>0.7717982411506401</v>
      </c>
    </row>
    <row r="34" spans="1:6" ht="12.75">
      <c r="A34" t="s">
        <v>48</v>
      </c>
      <c r="B34" s="5">
        <v>80</v>
      </c>
      <c r="C34">
        <f>P!C7</f>
        <v>5</v>
      </c>
      <c r="D34" s="2">
        <f t="shared" si="3"/>
        <v>0.4321621475028516</v>
      </c>
      <c r="E34" s="2">
        <f t="shared" si="4"/>
        <v>1.4664361264252312</v>
      </c>
      <c r="F34" s="2">
        <f t="shared" si="5"/>
        <v>0.734982789916775</v>
      </c>
    </row>
    <row r="35" spans="3:6" ht="12.75">
      <c r="C35">
        <f>P!C8</f>
        <v>6</v>
      </c>
      <c r="D35" s="2">
        <f t="shared" si="3"/>
        <v>0.37703761767702354</v>
      </c>
      <c r="E35" s="2">
        <f t="shared" si="4"/>
        <v>1.2884992649119833</v>
      </c>
      <c r="F35" s="2">
        <f t="shared" si="5"/>
        <v>0.6999234679111035</v>
      </c>
    </row>
    <row r="36" spans="1:6" ht="12.75">
      <c r="A36" t="s">
        <v>55</v>
      </c>
      <c r="B36" s="1">
        <f>Vpop*WTd/WTstd*EXP(Kagev*(AGEd-AGEstd))</f>
        <v>116.9615361539974</v>
      </c>
      <c r="C36">
        <f>P!C9</f>
        <v>7</v>
      </c>
      <c r="D36" s="2">
        <f t="shared" si="3"/>
        <v>0.3289445083633275</v>
      </c>
      <c r="E36" s="2">
        <f t="shared" si="4"/>
        <v>1.1321532017394493</v>
      </c>
      <c r="F36" s="2">
        <f t="shared" si="5"/>
        <v>0.6665365062332658</v>
      </c>
    </row>
    <row r="37" spans="1:6" ht="12.75">
      <c r="A37" t="s">
        <v>56</v>
      </c>
      <c r="B37" s="1">
        <f>CLstd*((WTd/WTstd)^0.75)*EXP(Kagecl*(AGEd-AGEstd))</f>
        <v>15.960091114725943</v>
      </c>
      <c r="C37">
        <f>P!C10</f>
        <v>8</v>
      </c>
      <c r="D37" s="2">
        <f t="shared" si="3"/>
        <v>0.28698592530117495</v>
      </c>
      <c r="E37" s="2">
        <f t="shared" si="4"/>
        <v>0.9947781167701661</v>
      </c>
      <c r="F37" s="2">
        <f t="shared" si="5"/>
        <v>0.634742131832726</v>
      </c>
    </row>
    <row r="38" spans="1:6" ht="12.75">
      <c r="A38" t="s">
        <v>57</v>
      </c>
      <c r="B38" s="1">
        <f>Vpop*Wte/WTstd*EXP(Kagev*(AGEe-AGEstd))</f>
        <v>35.714285714285715</v>
      </c>
      <c r="C38">
        <f>P!C11</f>
        <v>9</v>
      </c>
      <c r="D38" s="2">
        <f t="shared" si="3"/>
        <v>0.2503793777581533</v>
      </c>
      <c r="E38" s="2">
        <f t="shared" si="4"/>
        <v>0.8740720779523425</v>
      </c>
      <c r="F38" s="2">
        <f t="shared" si="5"/>
        <v>0.6044643769032401</v>
      </c>
    </row>
    <row r="39" spans="1:6" ht="12.75">
      <c r="A39" t="s">
        <v>58</v>
      </c>
      <c r="B39" s="1">
        <f>CLstd*((Wte/WTstd)^0.75)*EXP(Kagecl*(AGEe-AGEstd))</f>
        <v>4.6198883129171495</v>
      </c>
      <c r="C39">
        <f>P!C12</f>
        <v>10</v>
      </c>
      <c r="D39" s="2">
        <f t="shared" si="3"/>
        <v>0.21844218576493143</v>
      </c>
      <c r="E39" s="2">
        <f t="shared" si="4"/>
        <v>0.7680124688875132</v>
      </c>
      <c r="F39" s="2">
        <f t="shared" si="5"/>
        <v>0.5756308973693751</v>
      </c>
    </row>
    <row r="40" spans="1:6" ht="12.75">
      <c r="A40" t="s">
        <v>59</v>
      </c>
      <c r="B40" s="1">
        <f>Vpop*WTf/WTstd*EXP(Kagev*(AGEf-AGEstd))</f>
        <v>106.55890697437646</v>
      </c>
      <c r="C40">
        <f>P!C13</f>
        <v>11</v>
      </c>
      <c r="D40" s="2">
        <f t="shared" si="3"/>
        <v>0.190578748733259</v>
      </c>
      <c r="E40" s="2">
        <f t="shared" si="4"/>
        <v>0.674822096764031</v>
      </c>
      <c r="F40" s="2">
        <f t="shared" si="5"/>
        <v>0.5481728000313794</v>
      </c>
    </row>
    <row r="41" spans="1:6" ht="12.75">
      <c r="A41" t="s">
        <v>60</v>
      </c>
      <c r="B41" s="1">
        <f>CLstd*((WTf/WTstd)^0.75)*EXP(Kagecl*(AGEf-AGEstd))</f>
        <v>5.208182338510562</v>
      </c>
      <c r="C41">
        <f>P!C14</f>
        <v>12</v>
      </c>
      <c r="D41" s="2">
        <f t="shared" si="3"/>
        <v>0.1662694380279613</v>
      </c>
      <c r="E41" s="2">
        <f t="shared" si="4"/>
        <v>0.5929394127424005</v>
      </c>
      <c r="F41" s="2">
        <f t="shared" si="5"/>
        <v>0.5220244779553931</v>
      </c>
    </row>
    <row r="42" spans="3:6" ht="12.75">
      <c r="C42">
        <f>P!C15</f>
        <v>13</v>
      </c>
      <c r="D42" s="2">
        <f t="shared" si="3"/>
        <v>0.14506090634915306</v>
      </c>
      <c r="E42" s="2">
        <f t="shared" si="4"/>
        <v>0.5209923457889387</v>
      </c>
      <c r="F42" s="2">
        <f t="shared" si="5"/>
        <v>0.49712345371569217</v>
      </c>
    </row>
    <row r="43" spans="3:6" ht="12.75">
      <c r="C43">
        <f>P!C16</f>
        <v>14</v>
      </c>
      <c r="D43" s="2">
        <f t="shared" si="3"/>
        <v>0.12655763320315688</v>
      </c>
      <c r="E43" s="2">
        <f t="shared" si="4"/>
        <v>0.45777531150317363</v>
      </c>
      <c r="F43" s="2">
        <f t="shared" si="5"/>
        <v>0.47341023011441097</v>
      </c>
    </row>
    <row r="44" spans="3:6" ht="12.75">
      <c r="C44">
        <f>P!C17</f>
        <v>15</v>
      </c>
      <c r="D44" s="2">
        <f t="shared" si="3"/>
        <v>0.11041454879258245</v>
      </c>
      <c r="E44" s="2">
        <f t="shared" si="4"/>
        <v>0.4022290106863155</v>
      </c>
      <c r="F44" s="2">
        <f t="shared" si="5"/>
        <v>0.4508281480220676</v>
      </c>
    </row>
    <row r="45" spans="3:6" ht="12.75">
      <c r="C45">
        <f>P!C18</f>
        <v>16</v>
      </c>
      <c r="D45" s="2">
        <f t="shared" si="3"/>
        <v>0.09633059876759352</v>
      </c>
      <c r="E45" s="2">
        <f t="shared" si="4"/>
        <v>0.35342267914457076</v>
      </c>
      <c r="F45" s="2">
        <f t="shared" si="5"/>
        <v>0.42932325099921903</v>
      </c>
    </row>
    <row r="46" spans="3:6" ht="12.75">
      <c r="C46">
        <f>P!C19</f>
        <v>17</v>
      </c>
      <c r="D46" s="2">
        <f t="shared" si="3"/>
        <v>0.08404312982662376</v>
      </c>
      <c r="E46" s="2">
        <f t="shared" si="4"/>
        <v>0.3105384912952919</v>
      </c>
      <c r="F46" s="2">
        <f t="shared" si="5"/>
        <v>0.4088441563757821</v>
      </c>
    </row>
    <row r="47" spans="3:6" ht="12.75">
      <c r="C47">
        <f>P!C20</f>
        <v>18</v>
      </c>
      <c r="D47" s="2">
        <f t="shared" si="3"/>
        <v>0.0733229914629252</v>
      </c>
      <c r="E47" s="2">
        <f t="shared" si="4"/>
        <v>0.2728578562342593</v>
      </c>
      <c r="F47" s="2">
        <f t="shared" si="5"/>
        <v>0.38934193247998344</v>
      </c>
    </row>
    <row r="48" spans="3:6" ht="12.75">
      <c r="C48">
        <f>P!C21</f>
        <v>19</v>
      </c>
      <c r="D48" s="2">
        <f t="shared" si="3"/>
        <v>0.0639702625088229</v>
      </c>
      <c r="E48" s="2">
        <f t="shared" si="4"/>
        <v>0.2397493766335063</v>
      </c>
      <c r="F48" s="2">
        <f t="shared" si="5"/>
        <v>0.37076998172359665</v>
      </c>
    </row>
    <row r="49" spans="3:6" ht="12.75">
      <c r="C49">
        <f>P!C22</f>
        <v>20</v>
      </c>
      <c r="D49" s="2">
        <f t="shared" si="3"/>
        <v>0.055810522781478085</v>
      </c>
      <c r="E49" s="2">
        <f t="shared" si="4"/>
        <v>0.21065826870239052</v>
      </c>
      <c r="F49" s="2">
        <f t="shared" si="5"/>
        <v>0.3530839292641147</v>
      </c>
    </row>
    <row r="50" spans="3:6" ht="12.75">
      <c r="C50">
        <f>P!C23</f>
        <v>21</v>
      </c>
      <c r="D50" s="2">
        <f t="shared" si="3"/>
        <v>0.04869160029962804</v>
      </c>
      <c r="E50" s="2">
        <f t="shared" si="4"/>
        <v>0.18509706592699707</v>
      </c>
      <c r="F50" s="2">
        <f t="shared" si="5"/>
        <v>0.3362415169778351</v>
      </c>
    </row>
    <row r="51" spans="3:6" ht="12.75">
      <c r="C51">
        <f>P!C24</f>
        <v>22</v>
      </c>
      <c r="D51" s="2">
        <f t="shared" si="3"/>
        <v>0.04248073340974977</v>
      </c>
      <c r="E51" s="2">
        <f t="shared" si="4"/>
        <v>0.16263745081464406</v>
      </c>
      <c r="F51" s="2">
        <f t="shared" si="5"/>
        <v>0.3202025024905215</v>
      </c>
    </row>
    <row r="52" spans="3:6" ht="12.75">
      <c r="C52">
        <f>P!C25</f>
        <v>23</v>
      </c>
      <c r="D52" s="2">
        <f t="shared" si="3"/>
        <v>0.03706209489779321</v>
      </c>
      <c r="E52" s="2">
        <f t="shared" si="4"/>
        <v>0.1429030777717357</v>
      </c>
      <c r="F52" s="2">
        <f t="shared" si="5"/>
        <v>0.3049285630243903</v>
      </c>
    </row>
    <row r="53" spans="3:6" ht="12.75">
      <c r="C53">
        <f>P!C26</f>
        <v>24</v>
      </c>
      <c r="D53" s="2">
        <f t="shared" si="3"/>
        <v>0.032334631913341086</v>
      </c>
      <c r="E53" s="2">
        <f t="shared" si="4"/>
        <v>0.12556326685117958</v>
      </c>
      <c r="F53" s="2">
        <f t="shared" si="5"/>
        <v>0.29038320383168137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3" max="3" width="5.00390625" style="0" customWidth="1"/>
    <col min="4" max="4" width="12.28125" style="0" customWidth="1"/>
    <col min="6" max="6" width="11.57421875" style="0" customWidth="1"/>
  </cols>
  <sheetData>
    <row r="1" spans="1:6" ht="12.75">
      <c r="A1" t="s">
        <v>37</v>
      </c>
      <c r="B1" t="s">
        <v>2</v>
      </c>
      <c r="C1" t="str">
        <f>P!C1</f>
        <v>t</v>
      </c>
      <c r="D1" t="s">
        <v>32</v>
      </c>
      <c r="E1" t="s">
        <v>33</v>
      </c>
      <c r="F1" t="s">
        <v>34</v>
      </c>
    </row>
    <row r="2" spans="1:6" ht="12.75">
      <c r="A2" t="s">
        <v>7</v>
      </c>
      <c r="B2" s="1">
        <f ca="1">WTstd*EXP(NORMINV(RAND(),0,PPVwt))</f>
        <v>95.57084469986331</v>
      </c>
      <c r="C2">
        <f>P!C2</f>
        <v>0</v>
      </c>
      <c r="D2" s="2">
        <f>Dose/V1_*EXP(-CL1_/V1_*t)</f>
        <v>1.089922189619383</v>
      </c>
      <c r="E2" s="2">
        <f>Dose/V2_*EXP(-CL2_/V2_*t)</f>
        <v>0.9762315733949185</v>
      </c>
      <c r="F2" s="2">
        <f>Dose/V3_*EXP(-CL3_/V3_*t)</f>
        <v>0.6760940159373291</v>
      </c>
    </row>
    <row r="3" spans="1:6" ht="12.75">
      <c r="A3" t="s">
        <v>10</v>
      </c>
      <c r="B3" s="1">
        <f ca="1">AGEstd*EXP(NORMINV(RAND(),0,PPVage))</f>
        <v>38.07430304865174</v>
      </c>
      <c r="C3">
        <f>P!C3</f>
        <v>1</v>
      </c>
      <c r="D3" s="2">
        <f aca="true" t="shared" si="0" ref="D3:D26">Dose/V1_*EXP(-CL1_/V1_*t)</f>
        <v>0.8305266526576671</v>
      </c>
      <c r="E3" s="2">
        <f aca="true" t="shared" si="1" ref="E3:E26">Dose/V2_*EXP(-CL2_/V2_*t)</f>
        <v>0.899038292739493</v>
      </c>
      <c r="F3" s="2">
        <f aca="true" t="shared" si="2" ref="F3:F26">Dose/V3_*EXP(-CL3_/V3_*t)</f>
        <v>0.5868580655364357</v>
      </c>
    </row>
    <row r="4" spans="1:6" ht="12.75">
      <c r="A4" t="s">
        <v>61</v>
      </c>
      <c r="B4" s="1">
        <f>Vstd*WT1/WTstd*EXP(Kagev*(AGE1-AGEstd))</f>
        <v>133.92578138012325</v>
      </c>
      <c r="C4">
        <f>P!C4</f>
        <v>2</v>
      </c>
      <c r="D4" s="2">
        <f t="shared" si="0"/>
        <v>0.6328658388133457</v>
      </c>
      <c r="E4" s="2">
        <f t="shared" si="1"/>
        <v>0.8279488943398167</v>
      </c>
      <c r="F4" s="2">
        <f t="shared" si="2"/>
        <v>0.5094001440135392</v>
      </c>
    </row>
    <row r="5" spans="1:6" ht="12.75">
      <c r="A5" t="s">
        <v>62</v>
      </c>
      <c r="B5" s="1">
        <f>CLstd*(WT1/WTstd)^0.75*EXP(Kagecl*(AGE1-AGEstd))</f>
        <v>12.876082005868502</v>
      </c>
      <c r="C5">
        <f>P!C5</f>
        <v>3</v>
      </c>
      <c r="D5" s="2">
        <f t="shared" si="0"/>
        <v>0.48224722067048303</v>
      </c>
      <c r="E5" s="2">
        <f>Dose/V2_*EXP(-CL2_/V2_*t)</f>
        <v>0.762480727655898</v>
      </c>
      <c r="F5" s="2">
        <f>Dose/V3_*EXP(-CL3_/V3_*t)</f>
        <v>0.44216569893066215</v>
      </c>
    </row>
    <row r="6" spans="1:6" ht="12.75">
      <c r="A6" t="s">
        <v>13</v>
      </c>
      <c r="B6" s="1">
        <f ca="1">Vgrp1*EXP(NORMINV(RAND(),0,PPVv))</f>
        <v>91.74966887766685</v>
      </c>
      <c r="C6">
        <f>P!C6</f>
        <v>4</v>
      </c>
      <c r="D6" s="2">
        <f t="shared" si="0"/>
        <v>0.3674750122087035</v>
      </c>
      <c r="E6" s="2">
        <f t="shared" si="1"/>
        <v>0.7021893066361801</v>
      </c>
      <c r="F6" s="2">
        <f t="shared" si="2"/>
        <v>0.3838053593201272</v>
      </c>
    </row>
    <row r="7" spans="1:6" ht="12.75">
      <c r="A7" t="s">
        <v>16</v>
      </c>
      <c r="B7" s="1">
        <f ca="1">CLgrp1*EXP(NORMINV(RAND(),0,PPVcl))</f>
        <v>24.937703695922004</v>
      </c>
      <c r="C7">
        <f>P!C7</f>
        <v>5</v>
      </c>
      <c r="D7" s="2">
        <f t="shared" si="0"/>
        <v>0.2800179634214159</v>
      </c>
      <c r="E7" s="2">
        <f t="shared" si="1"/>
        <v>0.6466652919478354</v>
      </c>
      <c r="F7" s="2">
        <f t="shared" si="2"/>
        <v>0.3331478542978336</v>
      </c>
    </row>
    <row r="8" spans="3:6" ht="12.75">
      <c r="C8">
        <f>P!C8</f>
        <v>6</v>
      </c>
      <c r="D8" s="2">
        <f t="shared" si="0"/>
        <v>0.2133752152762573</v>
      </c>
      <c r="E8" s="2">
        <f t="shared" si="1"/>
        <v>0.5955317118303048</v>
      </c>
      <c r="F8" s="2">
        <f t="shared" si="2"/>
        <v>0.28917650608072226</v>
      </c>
    </row>
    <row r="9" spans="1:6" ht="12.75">
      <c r="A9" t="s">
        <v>8</v>
      </c>
      <c r="B9" s="1">
        <f ca="1">WTstd*EXP(NORMINV(RAND(),0,PPVwt))</f>
        <v>69.34073347232577</v>
      </c>
      <c r="C9">
        <f>P!C9</f>
        <v>7</v>
      </c>
      <c r="D9" s="2">
        <f t="shared" si="0"/>
        <v>0.16259307773648024</v>
      </c>
      <c r="E9" s="2">
        <f t="shared" si="1"/>
        <v>0.548441402703491</v>
      </c>
      <c r="F9" s="2">
        <f t="shared" si="2"/>
        <v>0.2510088256318023</v>
      </c>
    </row>
    <row r="10" spans="1:6" ht="12.75">
      <c r="A10" t="s">
        <v>11</v>
      </c>
      <c r="B10" s="1">
        <f ca="1">AGEstd*EXP(NORMINV(RAND(),0,PPVage))</f>
        <v>29.222931177565204</v>
      </c>
      <c r="C10">
        <f>P!C10</f>
        <v>8</v>
      </c>
      <c r="D10" s="2">
        <f t="shared" si="0"/>
        <v>0.12389681197787528</v>
      </c>
      <c r="E10" s="2">
        <f t="shared" si="1"/>
        <v>0.5050746521540089</v>
      </c>
      <c r="F10" s="2">
        <f t="shared" si="2"/>
        <v>0.21787880142472174</v>
      </c>
    </row>
    <row r="11" spans="1:6" ht="12.75">
      <c r="A11" t="s">
        <v>63</v>
      </c>
      <c r="B11" s="1">
        <f>Vstd*WT2/WTstd*EXP(Kagev*(AGE2-AGEstd))</f>
        <v>88.93775773910627</v>
      </c>
      <c r="C11">
        <f>P!C11</f>
        <v>9</v>
      </c>
      <c r="D11" s="2">
        <f t="shared" si="0"/>
        <v>0.09441004642989716</v>
      </c>
      <c r="E11" s="2">
        <f t="shared" si="1"/>
        <v>0.4651370282969144</v>
      </c>
      <c r="F11" s="2">
        <f t="shared" si="2"/>
        <v>0.1891215258698013</v>
      </c>
    </row>
    <row r="12" spans="1:6" ht="12.75">
      <c r="A12" t="s">
        <v>64</v>
      </c>
      <c r="B12" s="1">
        <f>CLstd*(WT2/WTstd)^0.75*EXP(Kagecl*(AGE2-AGEstd))</f>
        <v>11.05915662056755</v>
      </c>
      <c r="C12">
        <f>P!C12</f>
        <v>10</v>
      </c>
      <c r="D12" s="2">
        <f t="shared" si="0"/>
        <v>0.07194097026876696</v>
      </c>
      <c r="E12" s="2">
        <f t="shared" si="1"/>
        <v>0.42835738077569113</v>
      </c>
      <c r="F12" s="2">
        <f t="shared" si="2"/>
        <v>0.16415985085946777</v>
      </c>
    </row>
    <row r="13" spans="1:6" ht="12.75">
      <c r="A13" t="s">
        <v>14</v>
      </c>
      <c r="B13" s="1">
        <f ca="1">Vgrp2*EXP(NORMINV(RAND(),0,PPVv))</f>
        <v>102.43471193237738</v>
      </c>
      <c r="C13">
        <f>P!C13</f>
        <v>11</v>
      </c>
      <c r="D13" s="2">
        <f t="shared" si="0"/>
        <v>0.05481941169316772</v>
      </c>
      <c r="E13" s="2">
        <f t="shared" si="1"/>
        <v>0.3944859998285965</v>
      </c>
      <c r="F13" s="2">
        <f t="shared" si="2"/>
        <v>0.14249280461471678</v>
      </c>
    </row>
    <row r="14" spans="1:6" ht="12.75">
      <c r="A14" t="s">
        <v>17</v>
      </c>
      <c r="B14" s="1">
        <f ca="1">CLgrp2*EXP(NORMINV(RAND(),0,PPVcl))</f>
        <v>8.43797721327006</v>
      </c>
      <c r="C14">
        <f>P!C14</f>
        <v>12</v>
      </c>
      <c r="D14" s="2">
        <f t="shared" si="0"/>
        <v>0.041772690681789446</v>
      </c>
      <c r="E14" s="2">
        <f t="shared" si="1"/>
        <v>0.3632929209226285</v>
      </c>
      <c r="F14" s="2">
        <f t="shared" si="2"/>
        <v>0.12368553736290644</v>
      </c>
    </row>
    <row r="15" spans="3:6" ht="12.75">
      <c r="C15">
        <f>P!C15</f>
        <v>13</v>
      </c>
      <c r="D15" s="2">
        <f t="shared" si="0"/>
        <v>0.03183101811750996</v>
      </c>
      <c r="E15" s="2">
        <f t="shared" si="1"/>
        <v>0.33456636344468765</v>
      </c>
      <c r="F15" s="2">
        <f t="shared" si="2"/>
        <v>0.10736059406027668</v>
      </c>
    </row>
    <row r="16" spans="1:6" ht="12.75">
      <c r="A16" t="s">
        <v>9</v>
      </c>
      <c r="B16" s="1">
        <f ca="1">WTstd*EXP(NORMINV(RAND(),0,PPVwt))</f>
        <v>121.82989974812497</v>
      </c>
      <c r="C16">
        <f>P!C16</f>
        <v>14</v>
      </c>
      <c r="D16" s="2">
        <f t="shared" si="0"/>
        <v>0.0242554094040907</v>
      </c>
      <c r="E16" s="2">
        <f t="shared" si="1"/>
        <v>0.3081112928496668</v>
      </c>
      <c r="F16" s="2">
        <f t="shared" si="2"/>
        <v>0.09319033900589478</v>
      </c>
    </row>
    <row r="17" spans="1:6" ht="12.75">
      <c r="A17" t="s">
        <v>12</v>
      </c>
      <c r="B17" s="1">
        <f ca="1">AGEstd*EXP(NORMINV(RAND(),0,PPVage))</f>
        <v>35.40938589867926</v>
      </c>
      <c r="C17">
        <f>P!C17</f>
        <v>15</v>
      </c>
      <c r="D17" s="2">
        <f t="shared" si="0"/>
        <v>0.018482754248957543</v>
      </c>
      <c r="E17" s="2">
        <f t="shared" si="1"/>
        <v>0.283748096503395</v>
      </c>
      <c r="F17" s="2">
        <f t="shared" si="2"/>
        <v>0.08089038031177238</v>
      </c>
    </row>
    <row r="18" spans="1:6" ht="12.75">
      <c r="A18" t="s">
        <v>65</v>
      </c>
      <c r="B18" s="1">
        <f>Vstd*WT3/WTstd*EXP(Kagev*(AGE3-AGEstd))</f>
        <v>166.23369680693924</v>
      </c>
      <c r="C18">
        <f>P!C18</f>
        <v>16</v>
      </c>
      <c r="D18" s="2">
        <f t="shared" si="0"/>
        <v>0.014083959538103883</v>
      </c>
      <c r="E18" s="2">
        <f t="shared" si="1"/>
        <v>0.26131136423027407</v>
      </c>
      <c r="F18" s="2">
        <f t="shared" si="2"/>
        <v>0.07021386226065</v>
      </c>
    </row>
    <row r="19" spans="1:6" ht="12.75">
      <c r="A19" t="s">
        <v>66</v>
      </c>
      <c r="B19" s="1">
        <f>CLstd*(WT3/WTstd)^0.75*EXP(Kagecl*(AGE3-AGEstd))</f>
        <v>15.864583280264725</v>
      </c>
      <c r="C19">
        <f>P!C19</f>
        <v>17</v>
      </c>
      <c r="D19" s="2">
        <f t="shared" si="0"/>
        <v>0.010732053978488353</v>
      </c>
      <c r="E19" s="2">
        <f t="shared" si="1"/>
        <v>0.2406487652863249</v>
      </c>
      <c r="F19" s="2">
        <f t="shared" si="2"/>
        <v>0.06094651100113626</v>
      </c>
    </row>
    <row r="20" spans="1:6" ht="12.75">
      <c r="A20" t="s">
        <v>15</v>
      </c>
      <c r="B20" s="1">
        <f ca="1">Vgrp3*EXP(NORMINV(RAND(),0,PPVv))</f>
        <v>147.90842344812228</v>
      </c>
      <c r="C20">
        <f>P!C20</f>
        <v>18</v>
      </c>
      <c r="D20" s="2">
        <f t="shared" si="0"/>
        <v>0.008177883661592372</v>
      </c>
      <c r="E20" s="2">
        <f t="shared" si="1"/>
        <v>0.22162001413302243</v>
      </c>
      <c r="F20" s="2">
        <f t="shared" si="2"/>
        <v>0.05290233414909762</v>
      </c>
    </row>
    <row r="21" spans="1:6" ht="12.75">
      <c r="A21" t="s">
        <v>18</v>
      </c>
      <c r="B21" s="1">
        <f ca="1">CLgrp3*EXP(NORMINV(RAND(),0,PPVcl))</f>
        <v>20.93631146499314</v>
      </c>
      <c r="C21">
        <f>P!C21</f>
        <v>19</v>
      </c>
      <c r="D21" s="2">
        <f t="shared" si="0"/>
        <v>0.006231591950300586</v>
      </c>
      <c r="E21" s="2">
        <f t="shared" si="1"/>
        <v>0.20409591799020163</v>
      </c>
      <c r="F21" s="2">
        <f t="shared" si="2"/>
        <v>0.045919887987855505</v>
      </c>
    </row>
    <row r="22" spans="3:6" ht="12.75">
      <c r="C22">
        <f>P!C22</f>
        <v>20</v>
      </c>
      <c r="D22" s="2">
        <f t="shared" si="0"/>
        <v>0.004748507051699695</v>
      </c>
      <c r="E22" s="2">
        <f t="shared" si="1"/>
        <v>0.1879574997015412</v>
      </c>
      <c r="F22" s="2">
        <f t="shared" si="2"/>
        <v>0.039859037351250126</v>
      </c>
    </row>
    <row r="23" spans="3:6" ht="12.75">
      <c r="C23">
        <f>P!C23</f>
        <v>21</v>
      </c>
      <c r="D23" s="2">
        <f t="shared" si="0"/>
        <v>0.003618388270585347</v>
      </c>
      <c r="E23" s="2">
        <f t="shared" si="1"/>
        <v>0.1730951899574537</v>
      </c>
      <c r="F23" s="2">
        <f t="shared" si="2"/>
        <v>0.03459814316159764</v>
      </c>
    </row>
    <row r="24" spans="3:6" ht="12.75">
      <c r="C24">
        <f>P!C24</f>
        <v>22</v>
      </c>
      <c r="D24" s="2">
        <f t="shared" si="0"/>
        <v>0.0027572315959861907</v>
      </c>
      <c r="E24" s="2">
        <f t="shared" si="1"/>
        <v>0.15940808339110565</v>
      </c>
      <c r="F24" s="2">
        <f t="shared" si="2"/>
        <v>0.03003162117744577</v>
      </c>
    </row>
    <row r="25" spans="3:6" ht="12.75">
      <c r="C25">
        <f>P!C25</f>
        <v>23</v>
      </c>
      <c r="D25" s="2">
        <f t="shared" si="0"/>
        <v>0.0021010255134048176</v>
      </c>
      <c r="E25" s="2">
        <f t="shared" si="1"/>
        <v>0.14680325349694362</v>
      </c>
      <c r="F25" s="2">
        <f t="shared" si="2"/>
        <v>0.026067822956079192</v>
      </c>
    </row>
    <row r="26" spans="3:6" ht="12.75">
      <c r="C26">
        <f>P!C26</f>
        <v>24</v>
      </c>
      <c r="D26" s="2">
        <f t="shared" si="0"/>
        <v>0.001600992899691146</v>
      </c>
      <c r="E26" s="2">
        <f t="shared" si="1"/>
        <v>0.13519512172047332</v>
      </c>
      <c r="F26" s="2">
        <f t="shared" si="2"/>
        <v>0.022627196502459493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="75" zoomScaleNormal="75" workbookViewId="0" topLeftCell="A1">
      <selection activeCell="R23" sqref="R23"/>
    </sheetView>
  </sheetViews>
  <sheetFormatPr defaultColWidth="9.140625" defaultRowHeight="12.75"/>
  <cols>
    <col min="1" max="1" width="4.7109375" style="0" customWidth="1"/>
    <col min="2" max="2" width="12.00390625" style="0" customWidth="1"/>
  </cols>
  <sheetData>
    <row r="1" spans="1:2" ht="12.75">
      <c r="A1" t="str">
        <f>P!C1</f>
        <v>t</v>
      </c>
      <c r="B1" t="s">
        <v>35</v>
      </c>
    </row>
    <row r="2" spans="1:2" ht="12.75">
      <c r="A2">
        <v>0</v>
      </c>
      <c r="B2" s="2">
        <f ca="1">I!D2*EXP(NORMINV(RAND(),0,RUVcv))+NORMINV(RAND(),0,RUVsd)</f>
        <v>0.667624031784974</v>
      </c>
    </row>
    <row r="3" spans="1:2" ht="12.75">
      <c r="A3">
        <v>1</v>
      </c>
      <c r="B3" s="2">
        <f ca="1">I!D3*EXP(NORMINV(RAND(),0,RUVcv))+NORMINV(RAND(),0,RUVsd)</f>
        <v>0.893106053629776</v>
      </c>
    </row>
    <row r="4" spans="1:2" ht="12.75">
      <c r="A4">
        <v>2</v>
      </c>
      <c r="B4" s="2">
        <f ca="1">I!D4*EXP(NORMINV(RAND(),0,RUVcv))+NORMINV(RAND(),0,RUVsd)</f>
        <v>0.47532112607399446</v>
      </c>
    </row>
    <row r="5" spans="1:2" ht="12.75">
      <c r="A5">
        <v>3</v>
      </c>
      <c r="B5" s="2">
        <f ca="1">I!D5*EXP(NORMINV(RAND(),0,RUVcv))+NORMINV(RAND(),0,RUVsd)</f>
        <v>0.5346542600307039</v>
      </c>
    </row>
    <row r="6" spans="1:2" ht="12.75">
      <c r="A6">
        <v>4</v>
      </c>
      <c r="B6" s="2">
        <f ca="1">I!D6*EXP(NORMINV(RAND(),0,RUVcv))+NORMINV(RAND(),0,RUVsd)</f>
        <v>0.3396093517073901</v>
      </c>
    </row>
    <row r="7" spans="1:2" ht="12.75">
      <c r="A7">
        <v>5</v>
      </c>
      <c r="B7" s="2">
        <f ca="1">I!D7*EXP(NORMINV(RAND(),0,RUVcv))+NORMINV(RAND(),0,RUVsd)</f>
        <v>0.3329572943402548</v>
      </c>
    </row>
    <row r="8" spans="1:2" ht="12.75">
      <c r="A8">
        <v>6</v>
      </c>
      <c r="B8" s="2">
        <f ca="1">I!D8*EXP(NORMINV(RAND(),0,RUVcv))+NORMINV(RAND(),0,RUVsd)</f>
        <v>0.187114725227048</v>
      </c>
    </row>
    <row r="9" spans="1:2" ht="12.75">
      <c r="A9">
        <v>7</v>
      </c>
      <c r="B9" s="2">
        <f ca="1">I!D9*EXP(NORMINV(RAND(),0,RUVcv))+NORMINV(RAND(),0,RUVsd)</f>
        <v>0.1384408115744482</v>
      </c>
    </row>
    <row r="10" spans="1:2" ht="12.75">
      <c r="A10">
        <v>8</v>
      </c>
      <c r="B10" s="2">
        <f ca="1">I!D10*EXP(NORMINV(RAND(),0,RUVcv))+NORMINV(RAND(),0,RUVsd)</f>
        <v>0.03519939954026122</v>
      </c>
    </row>
    <row r="11" spans="1:2" ht="12.75">
      <c r="A11">
        <v>9</v>
      </c>
      <c r="B11" s="2">
        <f ca="1">I!D11*EXP(NORMINV(RAND(),0,RUVcv))+NORMINV(RAND(),0,RUVsd)</f>
        <v>0.08599068628378281</v>
      </c>
    </row>
    <row r="12" spans="1:2" ht="12.75">
      <c r="A12">
        <v>10</v>
      </c>
      <c r="B12" s="2">
        <f ca="1">I!D12*EXP(NORMINV(RAND(),0,RUVcv))+NORMINV(RAND(),0,RUVsd)</f>
        <v>0.09476281185292063</v>
      </c>
    </row>
    <row r="13" spans="1:2" ht="12.75">
      <c r="A13">
        <v>11</v>
      </c>
      <c r="B13" s="2">
        <f ca="1">I!D13*EXP(NORMINV(RAND(),0,RUVcv))+NORMINV(RAND(),0,RUVsd)</f>
        <v>0.09567735845958575</v>
      </c>
    </row>
    <row r="14" spans="1:2" ht="12.75">
      <c r="A14">
        <v>12</v>
      </c>
      <c r="B14" s="2">
        <f ca="1">I!D14*EXP(NORMINV(RAND(),0,RUVcv))+NORMINV(RAND(),0,RUVsd)</f>
        <v>0.05040898549620802</v>
      </c>
    </row>
    <row r="15" spans="1:2" ht="12.75">
      <c r="A15">
        <v>13</v>
      </c>
      <c r="B15" s="2">
        <f ca="1">I!D15*EXP(NORMINV(RAND(),0,RUVcv))+NORMINV(RAND(),0,RUVsd)</f>
        <v>0.0750064374186517</v>
      </c>
    </row>
    <row r="16" spans="1:2" ht="12.75">
      <c r="A16">
        <v>14</v>
      </c>
      <c r="B16" s="2">
        <f ca="1">I!D16*EXP(NORMINV(RAND(),0,RUVcv))+NORMINV(RAND(),0,RUVsd)</f>
        <v>-0.04496770759764682</v>
      </c>
    </row>
    <row r="17" spans="1:2" ht="12.75">
      <c r="A17">
        <v>15</v>
      </c>
      <c r="B17" s="2">
        <f ca="1">I!D17*EXP(NORMINV(RAND(),0,RUVcv))+NORMINV(RAND(),0,RUVsd)</f>
        <v>0.00011879267273903413</v>
      </c>
    </row>
    <row r="18" spans="1:2" ht="12.75">
      <c r="A18">
        <v>16</v>
      </c>
      <c r="B18" s="2">
        <f ca="1">I!D18*EXP(NORMINV(RAND(),0,RUVcv))+NORMINV(RAND(),0,RUVsd)</f>
        <v>-0.0069451354450949</v>
      </c>
    </row>
    <row r="19" spans="1:2" ht="12.75">
      <c r="A19">
        <v>17</v>
      </c>
      <c r="B19" s="2">
        <f ca="1">I!D19*EXP(NORMINV(RAND(),0,RUVcv))+NORMINV(RAND(),0,RUVsd)</f>
        <v>0.07284209155767882</v>
      </c>
    </row>
    <row r="20" spans="1:2" ht="12.75">
      <c r="A20">
        <v>18</v>
      </c>
      <c r="B20" s="2">
        <f ca="1">I!D20*EXP(NORMINV(RAND(),0,RUVcv))+NORMINV(RAND(),0,RUVsd)</f>
        <v>-0.01047854026792032</v>
      </c>
    </row>
    <row r="21" spans="1:2" ht="12.75">
      <c r="A21">
        <v>19</v>
      </c>
      <c r="B21" s="2">
        <f ca="1">I!D21*EXP(NORMINV(RAND(),0,RUVcv))+NORMINV(RAND(),0,RUVsd)</f>
        <v>0.038002055875667996</v>
      </c>
    </row>
    <row r="22" spans="1:2" ht="12.75">
      <c r="A22">
        <v>20</v>
      </c>
      <c r="B22" s="2">
        <f ca="1">I!D22*EXP(NORMINV(RAND(),0,RUVcv))+NORMINV(RAND(),0,RUVsd)</f>
        <v>0.022721596967803237</v>
      </c>
    </row>
    <row r="23" spans="1:2" ht="12.75">
      <c r="A23">
        <v>21</v>
      </c>
      <c r="B23" s="2">
        <f ca="1">I!D23*EXP(NORMINV(RAND(),0,RUVcv))+NORMINV(RAND(),0,RUVsd)</f>
        <v>0.07726478114663547</v>
      </c>
    </row>
    <row r="24" spans="1:2" ht="12.75">
      <c r="A24">
        <v>22</v>
      </c>
      <c r="B24" s="2">
        <f ca="1">I!D24*EXP(NORMINV(RAND(),0,RUVcv))+NORMINV(RAND(),0,RUVsd)</f>
        <v>0.03953103872467768</v>
      </c>
    </row>
    <row r="25" spans="1:2" ht="12.75">
      <c r="A25">
        <v>23</v>
      </c>
      <c r="B25" s="2">
        <f ca="1">I!D25*EXP(NORMINV(RAND(),0,RUVcv))+NORMINV(RAND(),0,RUVsd)</f>
        <v>-0.01186123713186076</v>
      </c>
    </row>
    <row r="26" spans="1:2" ht="12.75">
      <c r="A26">
        <v>24</v>
      </c>
      <c r="B26" s="2">
        <f ca="1">I!D26*EXP(NORMINV(RAND(),0,RUVcv))+NORMINV(RAND(),0,RUVsd)</f>
        <v>0.0006716633402494608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zoomScale="75" zoomScaleNormal="75" workbookViewId="0" topLeftCell="A1">
      <selection activeCell="H26" sqref="H26"/>
    </sheetView>
  </sheetViews>
  <sheetFormatPr defaultColWidth="9.140625" defaultRowHeight="12.75"/>
  <cols>
    <col min="1" max="1" width="4.140625" style="0" customWidth="1"/>
    <col min="2" max="2" width="11.421875" style="0" customWidth="1"/>
  </cols>
  <sheetData>
    <row r="1" spans="1:2" ht="12.75">
      <c r="A1" t="str">
        <f>O!A1</f>
        <v>t</v>
      </c>
      <c r="B1" t="s">
        <v>36</v>
      </c>
    </row>
    <row r="2" spans="1:2" ht="12.75">
      <c r="A2">
        <f>O!A2</f>
        <v>0</v>
      </c>
      <c r="B2" s="2">
        <f>IF(O!B2&gt;=LLQ,O!B2,NA())</f>
        <v>0.667624031784974</v>
      </c>
    </row>
    <row r="3" spans="1:2" ht="12.75">
      <c r="A3">
        <f>O!A3</f>
        <v>1</v>
      </c>
      <c r="B3" s="2">
        <f>IF(O!B3&gt;=LLQ,O!B3,NA())</f>
        <v>0.893106053629776</v>
      </c>
    </row>
    <row r="4" spans="1:2" ht="12.75">
      <c r="A4">
        <f>O!A4</f>
        <v>2</v>
      </c>
      <c r="B4" s="2">
        <f>IF(O!B4&gt;=LLQ,O!B4,NA())</f>
        <v>0.47532112607399446</v>
      </c>
    </row>
    <row r="5" spans="1:2" ht="12.75">
      <c r="A5">
        <f>O!A5</f>
        <v>3</v>
      </c>
      <c r="B5" s="2">
        <f>IF(O!B5&gt;=LLQ,O!B5,NA())</f>
        <v>0.5346542600307039</v>
      </c>
    </row>
    <row r="6" spans="1:2" ht="12.75">
      <c r="A6">
        <f>O!A6</f>
        <v>4</v>
      </c>
      <c r="B6" s="2">
        <f>IF(O!B6&gt;=LLQ,O!B6,NA())</f>
        <v>0.3396093517073901</v>
      </c>
    </row>
    <row r="7" spans="1:2" ht="12.75">
      <c r="A7">
        <f>O!A7</f>
        <v>5</v>
      </c>
      <c r="B7" s="2">
        <f>IF(O!B7&gt;=LLQ,O!B7,NA())</f>
        <v>0.3329572943402548</v>
      </c>
    </row>
    <row r="8" spans="1:2" ht="12.75">
      <c r="A8">
        <f>O!A8</f>
        <v>6</v>
      </c>
      <c r="B8" s="2">
        <f>IF(O!B8&gt;=LLQ,O!B8,NA())</f>
        <v>0.187114725227048</v>
      </c>
    </row>
    <row r="9" spans="1:2" ht="12.75">
      <c r="A9">
        <f>O!A9</f>
        <v>7</v>
      </c>
      <c r="B9" s="2">
        <f>IF(O!B9&gt;=LLQ,O!B9,NA())</f>
        <v>0.1384408115744482</v>
      </c>
    </row>
    <row r="10" spans="1:2" ht="12.75">
      <c r="A10">
        <f>O!A10</f>
        <v>8</v>
      </c>
      <c r="B10" s="2" t="e">
        <f>IF(O!B10&gt;=LLQ,O!B10,NA())</f>
        <v>#N/A</v>
      </c>
    </row>
    <row r="11" spans="1:2" ht="12.75">
      <c r="A11">
        <f>O!A11</f>
        <v>9</v>
      </c>
      <c r="B11" s="2">
        <f>IF(O!B11&gt;=LLQ,O!B11,NA())</f>
        <v>0.08599068628378281</v>
      </c>
    </row>
    <row r="12" spans="1:2" ht="12.75">
      <c r="A12">
        <f>O!A12</f>
        <v>10</v>
      </c>
      <c r="B12" s="2">
        <f>IF(O!B12&gt;=LLQ,O!B12,NA())</f>
        <v>0.09476281185292063</v>
      </c>
    </row>
    <row r="13" spans="1:2" ht="12.75">
      <c r="A13">
        <f>O!A13</f>
        <v>11</v>
      </c>
      <c r="B13" s="2">
        <f>IF(O!B13&gt;=LLQ,O!B13,NA())</f>
        <v>0.09567735845958575</v>
      </c>
    </row>
    <row r="14" spans="1:2" ht="12.75">
      <c r="A14">
        <f>O!A14</f>
        <v>12</v>
      </c>
      <c r="B14" s="2">
        <f>IF(O!B14&gt;=LLQ,O!B14,NA())</f>
        <v>0.05040898549620802</v>
      </c>
    </row>
    <row r="15" spans="1:2" ht="12.75">
      <c r="A15">
        <f>O!A15</f>
        <v>13</v>
      </c>
      <c r="B15" s="2">
        <f>IF(O!B15&gt;=LLQ,O!B15,NA())</f>
        <v>0.0750064374186517</v>
      </c>
    </row>
    <row r="16" spans="1:2" ht="12.75">
      <c r="A16">
        <f>O!A16</f>
        <v>14</v>
      </c>
      <c r="B16" s="2" t="e">
        <f>IF(O!B16&gt;=LLQ,O!B16,NA())</f>
        <v>#N/A</v>
      </c>
    </row>
    <row r="17" spans="1:2" ht="12.75">
      <c r="A17">
        <f>O!A17</f>
        <v>15</v>
      </c>
      <c r="B17" s="2" t="e">
        <f>IF(O!B17&gt;=LLQ,O!B17,NA())</f>
        <v>#N/A</v>
      </c>
    </row>
    <row r="18" spans="1:2" ht="12.75">
      <c r="A18">
        <f>O!A18</f>
        <v>16</v>
      </c>
      <c r="B18" s="2" t="e">
        <f>IF(O!B18&gt;=LLQ,O!B18,NA())</f>
        <v>#N/A</v>
      </c>
    </row>
    <row r="19" spans="1:2" ht="12.75">
      <c r="A19">
        <f>O!A19</f>
        <v>17</v>
      </c>
      <c r="B19" s="2">
        <f>IF(O!B19&gt;=LLQ,O!B19,NA())</f>
        <v>0.07284209155767882</v>
      </c>
    </row>
    <row r="20" spans="1:2" ht="12.75">
      <c r="A20">
        <f>O!A20</f>
        <v>18</v>
      </c>
      <c r="B20" s="2" t="e">
        <f>IF(O!B20&gt;=LLQ,O!B20,NA())</f>
        <v>#N/A</v>
      </c>
    </row>
    <row r="21" spans="1:2" ht="12.75">
      <c r="A21">
        <f>O!A21</f>
        <v>19</v>
      </c>
      <c r="B21" s="2" t="e">
        <f>IF(O!B21&gt;=LLQ,O!B21,NA())</f>
        <v>#N/A</v>
      </c>
    </row>
    <row r="22" spans="1:2" ht="12.75">
      <c r="A22">
        <f>O!A22</f>
        <v>20</v>
      </c>
      <c r="B22" s="2" t="e">
        <f>IF(O!B22&gt;=LLQ,O!B22,NA())</f>
        <v>#N/A</v>
      </c>
    </row>
    <row r="23" spans="1:2" ht="12.75">
      <c r="A23">
        <f>O!A23</f>
        <v>21</v>
      </c>
      <c r="B23" s="2">
        <f>IF(O!B23&gt;=LLQ,O!B23,NA())</f>
        <v>0.07726478114663547</v>
      </c>
    </row>
    <row r="24" spans="1:2" ht="12.75">
      <c r="A24">
        <f>O!A24</f>
        <v>22</v>
      </c>
      <c r="B24" s="2" t="e">
        <f>IF(O!B24&gt;=LLQ,O!B24,NA())</f>
        <v>#N/A</v>
      </c>
    </row>
    <row r="25" spans="1:2" ht="12.75">
      <c r="A25">
        <f>O!A25</f>
        <v>23</v>
      </c>
      <c r="B25" s="2" t="e">
        <f>IF(O!B25&gt;=LLQ,O!B25,NA())</f>
        <v>#N/A</v>
      </c>
    </row>
    <row r="26" spans="1:2" ht="12.75">
      <c r="A26">
        <f>O!A26</f>
        <v>24</v>
      </c>
      <c r="B26" s="2" t="e">
        <f>IF(O!B26&gt;=LLQ,O!B26,NA())</f>
        <v>#N/A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Holford</dc:creator>
  <cp:keywords/>
  <dc:description/>
  <cp:lastModifiedBy>Nick Holford</cp:lastModifiedBy>
  <dcterms:created xsi:type="dcterms:W3CDTF">2001-05-13T01:30:20Z</dcterms:created>
  <dcterms:modified xsi:type="dcterms:W3CDTF">2001-05-22T22:15:01Z</dcterms:modified>
  <cp:category/>
  <cp:version/>
  <cp:contentType/>
  <cp:contentStatus/>
</cp:coreProperties>
</file>